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<sst xmlns="http://schemas.openxmlformats.org/spreadsheetml/2006/main" count="102" uniqueCount="34">
  <si>
    <t>Операция</t>
  </si>
  <si>
    <t>Инструментальный материал</t>
  </si>
  <si>
    <t>Ррез</t>
  </si>
  <si>
    <t>Ст45</t>
  </si>
  <si>
    <t>Цветные сплавы на основе меди</t>
  </si>
  <si>
    <t xml:space="preserve"> Обработка торцев                  </t>
  </si>
  <si>
    <t xml:space="preserve">  Ст45</t>
  </si>
  <si>
    <t>Цв.сплавы</t>
  </si>
  <si>
    <t>Растачивание отверстий</t>
  </si>
  <si>
    <t>Материал заготовки</t>
  </si>
  <si>
    <t>Ø Заготовки мм.</t>
  </si>
  <si>
    <t>Чугун</t>
  </si>
  <si>
    <t xml:space="preserve">Частота вращения шпинделя n </t>
  </si>
  <si>
    <t>Sподача мм/об</t>
  </si>
  <si>
    <t>t глубина резания</t>
  </si>
  <si>
    <t>V резания м/мин</t>
  </si>
  <si>
    <t>-</t>
  </si>
  <si>
    <t>Px, Н</t>
  </si>
  <si>
    <t>Py ,Н</t>
  </si>
  <si>
    <t xml:space="preserve">Рz  ,Н   </t>
  </si>
  <si>
    <t>N,кВт</t>
  </si>
  <si>
    <t>Нарезание метрической резьбы (наружной) фасонным резцом.</t>
  </si>
  <si>
    <t>Продольное наружнее точение(черновое)</t>
  </si>
  <si>
    <t>Продольное наружнее точение(чистовое)</t>
  </si>
  <si>
    <t>Т14К8</t>
  </si>
  <si>
    <t>ВК8</t>
  </si>
  <si>
    <t>ВК3</t>
  </si>
  <si>
    <t>Т15К6</t>
  </si>
  <si>
    <t>Р6М5</t>
  </si>
  <si>
    <t>ВК4</t>
  </si>
  <si>
    <t>М ,Н*м</t>
  </si>
  <si>
    <t>Анализ режимов резания</t>
  </si>
  <si>
    <t>Нарезание трапецеидальной резьбы (наружной) фасонным резцом.</t>
  </si>
  <si>
    <t>ВК6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</si>
</sst>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view="pageBreakPreview" zoomScaleSheetLayoutView="100" workbookViewId="0" topLeftCell="A52">
      <selection activeCell="N68" sqref="N68:N69"/>
    </sheetView>
  </sheetViews>
  <sheetFormatPr defaultColWidth="9.00390625" defaultRowHeight="12.75"/>
  <cols>
    <col min="1" max="1" width="23.375" style="1" customWidth="1"/>
    <col min="2" max="2" width="9.125" style="1" customWidth="1"/>
    <col min="3" max="3" width="6.75390625" style="1" customWidth="1"/>
    <col min="4" max="4" width="14.375" style="1" customWidth="1"/>
    <col min="5" max="5" width="12.625" style="1" bestFit="1" customWidth="1"/>
    <col min="6" max="6" width="10.00390625" style="1" bestFit="1" customWidth="1"/>
    <col min="7" max="7" width="9.125" style="1" customWidth="1"/>
    <col min="8" max="8" width="7.125" style="1" customWidth="1"/>
    <col min="9" max="9" width="14.75390625" style="1" customWidth="1"/>
    <col min="10" max="10" width="5.625" style="1" customWidth="1"/>
    <col min="11" max="11" width="5.00390625" style="1" bestFit="1" customWidth="1"/>
    <col min="12" max="13" width="4.875" style="1" bestFit="1" customWidth="1"/>
    <col min="14" max="14" width="5.25390625" style="1" bestFit="1" customWidth="1"/>
    <col min="15" max="15" width="6.25390625" style="1" bestFit="1" customWidth="1"/>
    <col min="16" max="16384" width="9.125" style="1" customWidth="1"/>
  </cols>
  <sheetData>
    <row r="1" spans="1:17" ht="26.25" customHeight="1" thickBot="1" thickTop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Q1" s="4"/>
    </row>
    <row r="2" spans="1:17" ht="12.75" thickBot="1" thickTop="1">
      <c r="A2" s="16" t="s">
        <v>0</v>
      </c>
      <c r="B2" s="27" t="s">
        <v>9</v>
      </c>
      <c r="C2" s="28"/>
      <c r="D2" s="22" t="s">
        <v>1</v>
      </c>
      <c r="E2" s="22" t="s">
        <v>10</v>
      </c>
      <c r="F2" s="22" t="s">
        <v>15</v>
      </c>
      <c r="G2" s="23" t="s">
        <v>14</v>
      </c>
      <c r="H2" s="23" t="s">
        <v>13</v>
      </c>
      <c r="I2" s="22" t="s">
        <v>12</v>
      </c>
      <c r="J2" s="22" t="s">
        <v>2</v>
      </c>
      <c r="K2" s="22" t="s">
        <v>20</v>
      </c>
      <c r="L2" s="22" t="s">
        <v>17</v>
      </c>
      <c r="M2" s="20" t="s">
        <v>18</v>
      </c>
      <c r="N2" s="25" t="s">
        <v>19</v>
      </c>
      <c r="O2" s="20" t="s">
        <v>30</v>
      </c>
      <c r="P2" s="2"/>
      <c r="Q2" s="2"/>
    </row>
    <row r="3" spans="1:17" ht="12" thickBot="1">
      <c r="A3" s="17"/>
      <c r="B3" s="25"/>
      <c r="C3" s="29"/>
      <c r="D3" s="20"/>
      <c r="E3" s="20"/>
      <c r="F3" s="20"/>
      <c r="G3" s="24"/>
      <c r="H3" s="24"/>
      <c r="I3" s="20"/>
      <c r="J3" s="20"/>
      <c r="K3" s="20"/>
      <c r="L3" s="20"/>
      <c r="M3" s="21"/>
      <c r="N3" s="26"/>
      <c r="O3" s="21"/>
      <c r="P3" s="2"/>
      <c r="Q3" s="2"/>
    </row>
    <row r="4" spans="1:17" ht="12" thickBot="1">
      <c r="A4" s="15" t="s">
        <v>22</v>
      </c>
      <c r="B4" s="18" t="s">
        <v>3</v>
      </c>
      <c r="C4" s="19"/>
      <c r="D4" s="15" t="s">
        <v>24</v>
      </c>
      <c r="E4" s="6">
        <v>100</v>
      </c>
      <c r="F4" s="6">
        <f>350*1.3/(40^0.2*G4^0.15*H4^0.45)</f>
        <v>267.86032848687597</v>
      </c>
      <c r="G4" s="7">
        <v>2</v>
      </c>
      <c r="H4" s="7">
        <v>0.5</v>
      </c>
      <c r="I4" s="6">
        <f>F4*1000/(3.14*E4)</f>
        <v>853.058370977312</v>
      </c>
      <c r="J4" s="6">
        <f>SQRT(L4^2+M4^2+N4^2)</f>
        <v>2578.1250193637547</v>
      </c>
      <c r="K4" s="8">
        <f>N4*F4/61200</f>
        <v>10.126065402040135</v>
      </c>
      <c r="L4" s="6">
        <f>10*339*G4^1*H4^0.5*F4^(-0.4)*1.5</f>
        <v>768.4977428154696</v>
      </c>
      <c r="M4" s="6">
        <f>10*243*G4^0.9*H4^0.6*F4^(-0.3)*1.5</f>
        <v>838.7528564820645</v>
      </c>
      <c r="N4" s="6">
        <f>10*300*G4^1*H4^0.75*F4^(-0.15)*1.5</f>
        <v>2313.5759076589784</v>
      </c>
      <c r="O4" s="6">
        <f>9550*K4/I4</f>
        <v>113.36143912249966</v>
      </c>
      <c r="P4" s="2"/>
      <c r="Q4" s="3"/>
    </row>
    <row r="5" spans="1:17" ht="3.75" customHeight="1" thickBot="1">
      <c r="A5" s="16"/>
      <c r="B5" s="18"/>
      <c r="C5" s="19"/>
      <c r="D5" s="16"/>
      <c r="E5" s="6"/>
      <c r="F5" s="6"/>
      <c r="G5" s="7"/>
      <c r="H5" s="7"/>
      <c r="I5" s="6"/>
      <c r="J5" s="6"/>
      <c r="K5" s="8"/>
      <c r="L5" s="6"/>
      <c r="M5" s="6"/>
      <c r="N5" s="6"/>
      <c r="O5" s="6"/>
      <c r="P5" s="2"/>
      <c r="Q5" s="3"/>
    </row>
    <row r="6" spans="1:17" ht="12" thickBot="1">
      <c r="A6" s="16"/>
      <c r="B6" s="18"/>
      <c r="C6" s="19"/>
      <c r="D6" s="16"/>
      <c r="E6" s="6">
        <v>500</v>
      </c>
      <c r="F6" s="6">
        <f>350*1.3/(40^0.2*G6^0.15*H6^0.45)</f>
        <v>267.86032848687597</v>
      </c>
      <c r="G6" s="7">
        <v>2</v>
      </c>
      <c r="H6" s="7">
        <v>0.5</v>
      </c>
      <c r="I6" s="6">
        <f>F6*1000/(3.14*E6)</f>
        <v>170.6116741954624</v>
      </c>
      <c r="J6" s="6">
        <f>SQRT(L6^2+M6^2+N6^2)</f>
        <v>2578.1250193637547</v>
      </c>
      <c r="K6" s="8">
        <f>N6*F6/61200</f>
        <v>10.126065402040135</v>
      </c>
      <c r="L6" s="6">
        <f>10*339*G6^1*H6^0.5*F6^(-0.4)*1.5</f>
        <v>768.4977428154696</v>
      </c>
      <c r="M6" s="6">
        <f>10*243*G6^0.9*H6^0.6*F6^(-0.3)*1.5</f>
        <v>838.7528564820645</v>
      </c>
      <c r="N6" s="6">
        <f>10*300*G6^1*H6^0.75*F6^(-0.15)*1.5</f>
        <v>2313.5759076589784</v>
      </c>
      <c r="O6" s="6">
        <f>9550*K6/I6</f>
        <v>566.8071956124983</v>
      </c>
      <c r="P6" s="2"/>
      <c r="Q6" s="3"/>
    </row>
    <row r="7" spans="1:17" ht="3.75" customHeight="1" thickBot="1">
      <c r="A7" s="16"/>
      <c r="B7" s="18"/>
      <c r="C7" s="19"/>
      <c r="D7" s="17"/>
      <c r="E7" s="6"/>
      <c r="F7" s="6"/>
      <c r="G7" s="7"/>
      <c r="H7" s="7"/>
      <c r="I7" s="6"/>
      <c r="J7" s="6"/>
      <c r="K7" s="8"/>
      <c r="L7" s="6"/>
      <c r="M7" s="6"/>
      <c r="N7" s="6"/>
      <c r="O7" s="6"/>
      <c r="P7" s="2"/>
      <c r="Q7" s="3"/>
    </row>
    <row r="8" spans="1:17" ht="12" thickBot="1">
      <c r="A8" s="16"/>
      <c r="B8" s="9" t="s">
        <v>4</v>
      </c>
      <c r="C8" s="10"/>
      <c r="D8" s="15" t="s">
        <v>29</v>
      </c>
      <c r="E8" s="6">
        <v>100</v>
      </c>
      <c r="F8" s="6">
        <f>350*1.3/(40^0.2*G8^0.15*H8^0.45)</f>
        <v>267.86032848687597</v>
      </c>
      <c r="G8" s="7">
        <v>2</v>
      </c>
      <c r="H8" s="7">
        <v>0.5</v>
      </c>
      <c r="I8" s="6">
        <f>F8*1000/(3.14*E8)</f>
        <v>853.058370977312</v>
      </c>
      <c r="J8" s="6">
        <f>N8</f>
        <v>1044.2491900254809</v>
      </c>
      <c r="K8" s="8">
        <f>N8*F8/61200</f>
        <v>4.570472729777442</v>
      </c>
      <c r="L8" s="6" t="s">
        <v>16</v>
      </c>
      <c r="M8" s="6" t="s">
        <v>16</v>
      </c>
      <c r="N8" s="6">
        <f>10*55*G8^1*H8^0.66*1.5</f>
        <v>1044.2491900254809</v>
      </c>
      <c r="O8" s="6">
        <f>9550*K8/I8</f>
        <v>51.16650402172236</v>
      </c>
      <c r="P8" s="2"/>
      <c r="Q8" s="3"/>
    </row>
    <row r="9" spans="1:17" ht="7.5" customHeight="1" thickBot="1">
      <c r="A9" s="16"/>
      <c r="B9" s="11"/>
      <c r="C9" s="12"/>
      <c r="D9" s="16"/>
      <c r="E9" s="6"/>
      <c r="F9" s="6"/>
      <c r="G9" s="7"/>
      <c r="H9" s="7"/>
      <c r="I9" s="6"/>
      <c r="J9" s="6"/>
      <c r="K9" s="8"/>
      <c r="L9" s="6"/>
      <c r="M9" s="6"/>
      <c r="N9" s="6"/>
      <c r="O9" s="6"/>
      <c r="P9" s="2"/>
      <c r="Q9" s="3"/>
    </row>
    <row r="10" spans="1:17" ht="10.5" customHeight="1" thickBot="1">
      <c r="A10" s="16"/>
      <c r="B10" s="11"/>
      <c r="C10" s="12"/>
      <c r="D10" s="16"/>
      <c r="E10" s="6">
        <v>500</v>
      </c>
      <c r="F10" s="6">
        <f>350*1.3/(40^0.2*G10^0.15*H10^0.45)</f>
        <v>267.86032848687597</v>
      </c>
      <c r="G10" s="7">
        <v>2</v>
      </c>
      <c r="H10" s="7">
        <v>0.5</v>
      </c>
      <c r="I10" s="6">
        <f>F10*1000/(3.14*E10)</f>
        <v>170.6116741954624</v>
      </c>
      <c r="J10" s="6">
        <f>N10</f>
        <v>1044.2491900254809</v>
      </c>
      <c r="K10" s="8">
        <f>N10*F10/61200</f>
        <v>4.570472729777442</v>
      </c>
      <c r="L10" s="6" t="s">
        <v>16</v>
      </c>
      <c r="M10" s="6" t="s">
        <v>16</v>
      </c>
      <c r="N10" s="6">
        <f>10*55*G10^1*H10^0.66*1.5</f>
        <v>1044.2491900254809</v>
      </c>
      <c r="O10" s="6">
        <f>9550*K10/I10</f>
        <v>255.83252010861185</v>
      </c>
      <c r="P10" s="2"/>
      <c r="Q10" s="3"/>
    </row>
    <row r="11" spans="1:17" ht="6" customHeight="1" thickBot="1">
      <c r="A11" s="16"/>
      <c r="B11" s="11"/>
      <c r="C11" s="12"/>
      <c r="D11" s="17"/>
      <c r="E11" s="6"/>
      <c r="F11" s="6"/>
      <c r="G11" s="7"/>
      <c r="H11" s="7"/>
      <c r="I11" s="6"/>
      <c r="J11" s="6"/>
      <c r="K11" s="8"/>
      <c r="L11" s="6"/>
      <c r="M11" s="6"/>
      <c r="N11" s="6"/>
      <c r="O11" s="6"/>
      <c r="P11" s="2"/>
      <c r="Q11" s="3"/>
    </row>
    <row r="12" spans="1:17" ht="12" thickBot="1">
      <c r="A12" s="16"/>
      <c r="B12" s="9" t="s">
        <v>11</v>
      </c>
      <c r="C12" s="10"/>
      <c r="D12" s="15" t="s">
        <v>25</v>
      </c>
      <c r="E12" s="6">
        <v>100</v>
      </c>
      <c r="F12" s="6">
        <f>350*1.3/(40^0.2*G12^0.15*H12^0.45)</f>
        <v>267.86032848687597</v>
      </c>
      <c r="G12" s="7">
        <v>2</v>
      </c>
      <c r="H12" s="7">
        <v>0.5</v>
      </c>
      <c r="I12" s="6">
        <f>F12*1000/(3.14*E12)</f>
        <v>853.058370977312</v>
      </c>
      <c r="J12" s="6">
        <f>SQRT(L12^2+M12^2+N12^2)</f>
        <v>2143.5420992849895</v>
      </c>
      <c r="K12" s="8">
        <f>N12*F12/61200</f>
        <v>7.182796465354762</v>
      </c>
      <c r="L12" s="6">
        <f>10*46*G12^1*H12^0.4*1.5</f>
        <v>1045.8444308921748</v>
      </c>
      <c r="M12" s="6">
        <f>10*54*G12^0.9*H12^0.75*1.5</f>
        <v>898.7512723749544</v>
      </c>
      <c r="N12" s="6">
        <f>10*92*G12^1*H12^0.75*1.5</f>
        <v>1641.1058187037552</v>
      </c>
      <c r="O12" s="6">
        <f>9550*K12/I12</f>
        <v>80.4115035710286</v>
      </c>
      <c r="P12" s="2"/>
      <c r="Q12" s="3"/>
    </row>
    <row r="13" spans="1:17" ht="6.75" customHeight="1" thickBot="1">
      <c r="A13" s="16"/>
      <c r="B13" s="11"/>
      <c r="C13" s="12"/>
      <c r="D13" s="16"/>
      <c r="E13" s="6"/>
      <c r="F13" s="6"/>
      <c r="G13" s="7"/>
      <c r="H13" s="7"/>
      <c r="I13" s="6"/>
      <c r="J13" s="6"/>
      <c r="K13" s="8"/>
      <c r="L13" s="6"/>
      <c r="M13" s="6"/>
      <c r="N13" s="6"/>
      <c r="O13" s="6"/>
      <c r="P13" s="2"/>
      <c r="Q13" s="3"/>
    </row>
    <row r="14" spans="1:17" ht="12" thickBot="1">
      <c r="A14" s="16"/>
      <c r="B14" s="11"/>
      <c r="C14" s="12"/>
      <c r="D14" s="16"/>
      <c r="E14" s="6">
        <v>500</v>
      </c>
      <c r="F14" s="6">
        <f>350*1.3/(40^0.2*G14^0.15*H14^0.45)</f>
        <v>267.86032848687597</v>
      </c>
      <c r="G14" s="7">
        <v>2</v>
      </c>
      <c r="H14" s="7">
        <v>0.5</v>
      </c>
      <c r="I14" s="6">
        <f>F14*1000/(3.14*E14)</f>
        <v>170.6116741954624</v>
      </c>
      <c r="J14" s="6">
        <f>SQRT(L14^2+M14^2+N14^2)</f>
        <v>2143.5420992849895</v>
      </c>
      <c r="K14" s="8">
        <f>N14*F14/61200</f>
        <v>7.182796465354762</v>
      </c>
      <c r="L14" s="6">
        <f>10*46*G14^1*H14^0.4*1.5</f>
        <v>1045.8444308921748</v>
      </c>
      <c r="M14" s="6">
        <f>10*54*G14^0.9*H14^0.75*1.5</f>
        <v>898.7512723749544</v>
      </c>
      <c r="N14" s="6">
        <f>10*92*G14^1*H14^0.75*1.5</f>
        <v>1641.1058187037552</v>
      </c>
      <c r="O14" s="6">
        <f>9550*K14/I14</f>
        <v>402.05751785514303</v>
      </c>
      <c r="P14" s="2"/>
      <c r="Q14" s="3"/>
    </row>
    <row r="15" spans="1:17" ht="6.75" customHeight="1" thickBot="1">
      <c r="A15" s="17"/>
      <c r="B15" s="13"/>
      <c r="C15" s="14"/>
      <c r="D15" s="17"/>
      <c r="E15" s="6"/>
      <c r="F15" s="6"/>
      <c r="G15" s="7"/>
      <c r="H15" s="7"/>
      <c r="I15" s="6"/>
      <c r="J15" s="6"/>
      <c r="K15" s="8"/>
      <c r="L15" s="6"/>
      <c r="M15" s="6"/>
      <c r="N15" s="6"/>
      <c r="O15" s="6"/>
      <c r="P15" s="2"/>
      <c r="Q15" s="3"/>
    </row>
    <row r="16" spans="1:17" ht="12" thickBot="1">
      <c r="A16" s="15" t="s">
        <v>23</v>
      </c>
      <c r="B16" s="18" t="s">
        <v>3</v>
      </c>
      <c r="C16" s="19"/>
      <c r="D16" s="15" t="s">
        <v>27</v>
      </c>
      <c r="E16" s="6">
        <v>100</v>
      </c>
      <c r="F16" s="6">
        <f>350*1.3/(40^0.2*G16^0.15*H16^0.45)</f>
        <v>674.005889392137</v>
      </c>
      <c r="G16" s="7">
        <v>0.4</v>
      </c>
      <c r="H16" s="7">
        <v>0.11</v>
      </c>
      <c r="I16" s="6">
        <f>F16*1000/(3.14*E16)</f>
        <v>2146.515571312538</v>
      </c>
      <c r="J16" s="6">
        <f>SQRT(L16^2+M16^2+N16^2)</f>
        <v>151.20212587548332</v>
      </c>
      <c r="K16" s="8">
        <f>N16*F16/61200</f>
        <v>1.4253769599121053</v>
      </c>
      <c r="L16" s="6">
        <f>10*339*G16^1*H16^0.5*F16^(-0.4)*1.5</f>
        <v>49.84043390875847</v>
      </c>
      <c r="M16" s="6">
        <f>10*243*G16^0.9*H16^0.6*F16^(-0.3)*1.5</f>
        <v>60.22655591417417</v>
      </c>
      <c r="N16" s="6">
        <f>10*300*G16^1*H16^0.75*F16^(-0.15)*1.5</f>
        <v>129.42478889211694</v>
      </c>
      <c r="O16" s="6">
        <f>9550*K16/I16</f>
        <v>6.341603177300508</v>
      </c>
      <c r="P16" s="2"/>
      <c r="Q16" s="3"/>
    </row>
    <row r="17" spans="1:17" ht="7.5" customHeight="1" thickBot="1">
      <c r="A17" s="16"/>
      <c r="B17" s="18"/>
      <c r="C17" s="19"/>
      <c r="D17" s="16"/>
      <c r="E17" s="6"/>
      <c r="F17" s="6"/>
      <c r="G17" s="7"/>
      <c r="H17" s="7"/>
      <c r="I17" s="6"/>
      <c r="J17" s="6"/>
      <c r="K17" s="8"/>
      <c r="L17" s="6"/>
      <c r="M17" s="6"/>
      <c r="N17" s="6"/>
      <c r="O17" s="6"/>
      <c r="P17" s="2"/>
      <c r="Q17" s="3"/>
    </row>
    <row r="18" spans="1:17" ht="12" thickBot="1">
      <c r="A18" s="16"/>
      <c r="B18" s="18"/>
      <c r="C18" s="19"/>
      <c r="D18" s="16"/>
      <c r="E18" s="6">
        <v>500</v>
      </c>
      <c r="F18" s="6">
        <f>350*1.3/(40^0.2*G18^0.15*H18^0.45)</f>
        <v>674.005889392137</v>
      </c>
      <c r="G18" s="7">
        <v>0.4</v>
      </c>
      <c r="H18" s="7">
        <v>0.11</v>
      </c>
      <c r="I18" s="6">
        <f>F18*1000/(3.14*E18)</f>
        <v>429.3031142625076</v>
      </c>
      <c r="J18" s="6">
        <f>SQRT(L18^2+M18^2+N18^2)</f>
        <v>151.20212587548332</v>
      </c>
      <c r="K18" s="8">
        <f>N18*F18/61200</f>
        <v>1.4253769599121053</v>
      </c>
      <c r="L18" s="6">
        <f>10*339*G18^1*H18^0.5*F18^(-0.4)*1.5</f>
        <v>49.84043390875847</v>
      </c>
      <c r="M18" s="6">
        <f>10*243*G18^0.9*H18^0.6*F18^(-0.3)*1.5</f>
        <v>60.22655591417417</v>
      </c>
      <c r="N18" s="6">
        <f>10*300*G18^1*H18^0.75*F18^(-0.15)*1.5</f>
        <v>129.42478889211694</v>
      </c>
      <c r="O18" s="6">
        <f>9550*K18/I18</f>
        <v>31.708015886502537</v>
      </c>
      <c r="P18" s="2"/>
      <c r="Q18" s="3"/>
    </row>
    <row r="19" spans="1:17" ht="5.25" customHeight="1" thickBot="1">
      <c r="A19" s="16"/>
      <c r="B19" s="18"/>
      <c r="C19" s="19"/>
      <c r="D19" s="17"/>
      <c r="E19" s="6"/>
      <c r="F19" s="6"/>
      <c r="G19" s="7"/>
      <c r="H19" s="7"/>
      <c r="I19" s="6"/>
      <c r="J19" s="6"/>
      <c r="K19" s="8"/>
      <c r="L19" s="6"/>
      <c r="M19" s="6"/>
      <c r="N19" s="6"/>
      <c r="O19" s="6"/>
      <c r="P19" s="2"/>
      <c r="Q19" s="3"/>
    </row>
    <row r="20" spans="1:17" ht="12" thickBot="1">
      <c r="A20" s="16"/>
      <c r="B20" s="9" t="s">
        <v>4</v>
      </c>
      <c r="C20" s="10"/>
      <c r="D20" s="15" t="s">
        <v>26</v>
      </c>
      <c r="E20" s="6">
        <v>100</v>
      </c>
      <c r="F20" s="6">
        <f>350*1.3/(40^0.2*G20^0.15*H20^0.45)</f>
        <v>674.005889392137</v>
      </c>
      <c r="G20" s="7">
        <v>0.4</v>
      </c>
      <c r="H20" s="7">
        <v>0.11</v>
      </c>
      <c r="I20" s="6">
        <f>F20*1000/(3.14*E20)</f>
        <v>2146.515571312538</v>
      </c>
      <c r="J20" s="6">
        <f>N20</f>
        <v>76.88349405192749</v>
      </c>
      <c r="K20" s="8">
        <f>N20*F20/61200</f>
        <v>0.8467308462098767</v>
      </c>
      <c r="L20" s="6" t="s">
        <v>16</v>
      </c>
      <c r="M20" s="6" t="s">
        <v>16</v>
      </c>
      <c r="N20" s="6">
        <f>10*55*G20^1*H20^0.66*1.5</f>
        <v>76.88349405192749</v>
      </c>
      <c r="O20" s="6">
        <f>9550*K20/I20</f>
        <v>3.7671655819201786</v>
      </c>
      <c r="P20" s="2"/>
      <c r="Q20" s="3"/>
    </row>
    <row r="21" spans="1:17" ht="4.5" customHeight="1" thickBot="1">
      <c r="A21" s="16"/>
      <c r="B21" s="11"/>
      <c r="C21" s="12"/>
      <c r="D21" s="16"/>
      <c r="E21" s="6"/>
      <c r="F21" s="6"/>
      <c r="G21" s="7"/>
      <c r="H21" s="7"/>
      <c r="I21" s="6"/>
      <c r="J21" s="6"/>
      <c r="K21" s="8"/>
      <c r="L21" s="6"/>
      <c r="M21" s="6"/>
      <c r="N21" s="6"/>
      <c r="O21" s="6"/>
      <c r="P21" s="2"/>
      <c r="Q21" s="3"/>
    </row>
    <row r="22" spans="1:17" ht="12" thickBot="1">
      <c r="A22" s="16"/>
      <c r="B22" s="11"/>
      <c r="C22" s="12"/>
      <c r="D22" s="16"/>
      <c r="E22" s="6">
        <v>500</v>
      </c>
      <c r="F22" s="6">
        <f>350*1.3/(40^0.2*G22^0.15*H22^0.45)</f>
        <v>674.005889392137</v>
      </c>
      <c r="G22" s="7">
        <v>0.4</v>
      </c>
      <c r="H22" s="7">
        <v>0.11</v>
      </c>
      <c r="I22" s="6">
        <f>F22*1000/(3.14*E22)</f>
        <v>429.3031142625076</v>
      </c>
      <c r="J22" s="6">
        <f>N22</f>
        <v>76.88349405192749</v>
      </c>
      <c r="K22" s="8">
        <f>N22*F22/61200</f>
        <v>0.8467308462098767</v>
      </c>
      <c r="L22" s="6" t="s">
        <v>16</v>
      </c>
      <c r="M22" s="6" t="s">
        <v>16</v>
      </c>
      <c r="N22" s="6">
        <f>10*55*G22^1*H22^0.66*1.5</f>
        <v>76.88349405192749</v>
      </c>
      <c r="O22" s="6">
        <f>9550*K22/I22</f>
        <v>18.835827909600894</v>
      </c>
      <c r="P22" s="2"/>
      <c r="Q22" s="3"/>
    </row>
    <row r="23" spans="1:17" ht="5.25" customHeight="1" thickBot="1">
      <c r="A23" s="16"/>
      <c r="B23" s="11"/>
      <c r="C23" s="12"/>
      <c r="D23" s="17"/>
      <c r="E23" s="6"/>
      <c r="F23" s="6"/>
      <c r="G23" s="7"/>
      <c r="H23" s="7"/>
      <c r="I23" s="6"/>
      <c r="J23" s="6"/>
      <c r="K23" s="8"/>
      <c r="L23" s="6"/>
      <c r="M23" s="6"/>
      <c r="N23" s="6"/>
      <c r="O23" s="6"/>
      <c r="P23" s="2"/>
      <c r="Q23" s="3"/>
    </row>
    <row r="24" spans="1:17" ht="12" thickBot="1">
      <c r="A24" s="16"/>
      <c r="B24" s="9" t="s">
        <v>11</v>
      </c>
      <c r="C24" s="10"/>
      <c r="D24" s="15" t="s">
        <v>29</v>
      </c>
      <c r="E24" s="6">
        <v>100</v>
      </c>
      <c r="F24" s="6">
        <f>350*1.3/(40^0.2*G24^0.15*H24^0.45)</f>
        <v>674.005889392137</v>
      </c>
      <c r="G24" s="7">
        <v>0.4</v>
      </c>
      <c r="H24" s="7">
        <v>0.11</v>
      </c>
      <c r="I24" s="6">
        <f>F24*1000/(3.14*E24)</f>
        <v>2146.515571312538</v>
      </c>
      <c r="J24" s="6">
        <f>SQRT(L24^2+M24^2+N24^2)</f>
        <v>169.54707826878342</v>
      </c>
      <c r="K24" s="8">
        <f>N24*F24/61200</f>
        <v>1.1611701442605156</v>
      </c>
      <c r="L24" s="6">
        <f>10*46*G24^1*H24^0.4*1.5</f>
        <v>114.14743478900544</v>
      </c>
      <c r="M24" s="6">
        <f>10*54*G24^0.9*H24^0.75*1.5</f>
        <v>67.82401963350263</v>
      </c>
      <c r="N24" s="6">
        <f>10*92*G24^1*H24^0.75*1.5</f>
        <v>105.43470605699517</v>
      </c>
      <c r="O24" s="6">
        <f>9550*K24/I24</f>
        <v>5.166128317861297</v>
      </c>
      <c r="P24" s="2"/>
      <c r="Q24" s="3"/>
    </row>
    <row r="25" spans="1:17" ht="6.75" customHeight="1" thickBot="1">
      <c r="A25" s="16"/>
      <c r="B25" s="11"/>
      <c r="C25" s="12"/>
      <c r="D25" s="16"/>
      <c r="E25" s="6"/>
      <c r="F25" s="6"/>
      <c r="G25" s="7"/>
      <c r="H25" s="7"/>
      <c r="I25" s="6"/>
      <c r="J25" s="6"/>
      <c r="K25" s="8"/>
      <c r="L25" s="6"/>
      <c r="M25" s="6"/>
      <c r="N25" s="6"/>
      <c r="O25" s="6"/>
      <c r="P25" s="2"/>
      <c r="Q25" s="3"/>
    </row>
    <row r="26" spans="1:17" ht="12" thickBot="1">
      <c r="A26" s="16"/>
      <c r="B26" s="11"/>
      <c r="C26" s="12"/>
      <c r="D26" s="16"/>
      <c r="E26" s="6">
        <v>500</v>
      </c>
      <c r="F26" s="6">
        <f>350*1.3/(40^0.2*G26^0.15*H26^0.45)</f>
        <v>674.005889392137</v>
      </c>
      <c r="G26" s="7">
        <v>0.4</v>
      </c>
      <c r="H26" s="7">
        <v>0.11</v>
      </c>
      <c r="I26" s="6">
        <f>F26*1000/(3.14*E26)</f>
        <v>429.3031142625076</v>
      </c>
      <c r="J26" s="6">
        <f>SQRT(L26^2+M26^2+N26^2)</f>
        <v>169.54707826878342</v>
      </c>
      <c r="K26" s="8">
        <f>N26*F26/61200</f>
        <v>1.1611701442605156</v>
      </c>
      <c r="L26" s="6">
        <f>10*46*G26^1*H26^0.4*1.5</f>
        <v>114.14743478900544</v>
      </c>
      <c r="M26" s="6">
        <f>10*54*G26^0.9*H26^0.75*1.5</f>
        <v>67.82401963350263</v>
      </c>
      <c r="N26" s="6">
        <f>10*92*G26^1*H26^0.75*1.5</f>
        <v>105.43470605699517</v>
      </c>
      <c r="O26" s="6">
        <f>9550*K26/I26</f>
        <v>25.830641589306484</v>
      </c>
      <c r="P26" s="2"/>
      <c r="Q26" s="3"/>
    </row>
    <row r="27" spans="1:17" ht="6.75" customHeight="1" thickBot="1">
      <c r="A27" s="17"/>
      <c r="B27" s="13"/>
      <c r="C27" s="14"/>
      <c r="D27" s="17"/>
      <c r="E27" s="6"/>
      <c r="F27" s="6"/>
      <c r="G27" s="7"/>
      <c r="H27" s="7"/>
      <c r="I27" s="6"/>
      <c r="J27" s="6"/>
      <c r="K27" s="8"/>
      <c r="L27" s="6"/>
      <c r="M27" s="6"/>
      <c r="N27" s="6"/>
      <c r="O27" s="6"/>
      <c r="P27" s="2"/>
      <c r="Q27" s="3"/>
    </row>
    <row r="28" spans="1:17" ht="12" thickBot="1">
      <c r="A28" s="15" t="s">
        <v>5</v>
      </c>
      <c r="B28" s="18" t="s">
        <v>6</v>
      </c>
      <c r="C28" s="19"/>
      <c r="D28" s="15" t="s">
        <v>24</v>
      </c>
      <c r="E28" s="6">
        <v>100</v>
      </c>
      <c r="F28" s="6">
        <f>350*1.6/(40^0.2*G28^0.15*H28^0.45)</f>
        <v>628.832475208332</v>
      </c>
      <c r="G28" s="7">
        <v>1</v>
      </c>
      <c r="H28" s="7">
        <v>0.15</v>
      </c>
      <c r="I28" s="6">
        <f>F28*1000/(3.14*E28)</f>
        <v>2002.6511949309934</v>
      </c>
      <c r="J28" s="6">
        <f>SQRT(L28^2+M28^2+N28^2)</f>
        <v>470.25967681908475</v>
      </c>
      <c r="K28" s="8">
        <f>N28*F28/61200</f>
        <v>4.239203389608292</v>
      </c>
      <c r="L28" s="6">
        <f>10*339*G28^1*H28^0.5*F28^(-0.4)*1.5</f>
        <v>149.5969027222382</v>
      </c>
      <c r="M28" s="6">
        <f>10*243*G28^0.9*H28^0.6*F28^(-0.3)*1.5</f>
        <v>168.96307293080443</v>
      </c>
      <c r="N28" s="6">
        <f>10*300*G28^1*H28^0.75*F28^(-0.15)*1.5</f>
        <v>412.5729151600756</v>
      </c>
      <c r="O28" s="6">
        <f>9550*K28/I28</f>
        <v>20.21539870409344</v>
      </c>
      <c r="P28" s="2"/>
      <c r="Q28" s="3"/>
    </row>
    <row r="29" spans="1:17" ht="12" thickBot="1">
      <c r="A29" s="16"/>
      <c r="B29" s="18"/>
      <c r="C29" s="19"/>
      <c r="D29" s="16"/>
      <c r="E29" s="6"/>
      <c r="F29" s="6"/>
      <c r="G29" s="7"/>
      <c r="H29" s="7"/>
      <c r="I29" s="6"/>
      <c r="J29" s="6"/>
      <c r="K29" s="8"/>
      <c r="L29" s="6"/>
      <c r="M29" s="6"/>
      <c r="N29" s="6"/>
      <c r="O29" s="6"/>
      <c r="P29" s="2"/>
      <c r="Q29" s="3"/>
    </row>
    <row r="30" spans="1:17" ht="12" thickBot="1">
      <c r="A30" s="16"/>
      <c r="B30" s="18"/>
      <c r="C30" s="19"/>
      <c r="D30" s="16"/>
      <c r="E30" s="6">
        <v>500</v>
      </c>
      <c r="F30" s="6">
        <f>350*1.6/(40^0.2*G30^0.15*H30^0.45)</f>
        <v>628.832475208332</v>
      </c>
      <c r="G30" s="7">
        <v>1</v>
      </c>
      <c r="H30" s="7">
        <v>0.15</v>
      </c>
      <c r="I30" s="6">
        <f>F30*1000/(3.14*E30)</f>
        <v>400.5302389861987</v>
      </c>
      <c r="J30" s="6">
        <f>SQRT(L30^2+M30^2+N30^2)</f>
        <v>470.25967681908475</v>
      </c>
      <c r="K30" s="8">
        <f>N30*F30/61200</f>
        <v>4.239203389608292</v>
      </c>
      <c r="L30" s="6">
        <f>10*339*G30^1*H30^0.5*F30^(-0.4)*1.5</f>
        <v>149.5969027222382</v>
      </c>
      <c r="M30" s="6">
        <f>10*243*G30^0.9*H30^0.6*F30^(-0.3)*1.5</f>
        <v>168.96307293080443</v>
      </c>
      <c r="N30" s="6">
        <f>10*300*G30^1*H30^0.75*F30^(-0.15)*1.5</f>
        <v>412.5729151600756</v>
      </c>
      <c r="O30" s="6">
        <f>9550*K30/I30</f>
        <v>101.07699352046721</v>
      </c>
      <c r="P30" s="2"/>
      <c r="Q30" s="3"/>
    </row>
    <row r="31" spans="1:17" ht="12" thickBot="1">
      <c r="A31" s="16"/>
      <c r="B31" s="18"/>
      <c r="C31" s="19"/>
      <c r="D31" s="17"/>
      <c r="E31" s="6"/>
      <c r="F31" s="6"/>
      <c r="G31" s="7"/>
      <c r="H31" s="7"/>
      <c r="I31" s="6"/>
      <c r="J31" s="6"/>
      <c r="K31" s="8"/>
      <c r="L31" s="6"/>
      <c r="M31" s="6"/>
      <c r="N31" s="6"/>
      <c r="O31" s="6"/>
      <c r="P31" s="2"/>
      <c r="Q31" s="3"/>
    </row>
    <row r="32" spans="1:17" ht="12" thickBot="1">
      <c r="A32" s="16"/>
      <c r="B32" s="18" t="s">
        <v>4</v>
      </c>
      <c r="C32" s="19"/>
      <c r="D32" s="15" t="s">
        <v>29</v>
      </c>
      <c r="E32" s="6">
        <v>100</v>
      </c>
      <c r="F32" s="6">
        <f>215*1.6/(40^0.2*G32^0.15*H32^0.45)</f>
        <v>386.2828061994039</v>
      </c>
      <c r="G32" s="7">
        <v>1</v>
      </c>
      <c r="H32" s="7">
        <v>0.15</v>
      </c>
      <c r="I32" s="6">
        <f>F32*1000/(3.14*E32)</f>
        <v>1230.2000197433247</v>
      </c>
      <c r="J32" s="6">
        <f>N32</f>
        <v>235.87079972194368</v>
      </c>
      <c r="K32" s="8">
        <f>N32*F32/61200</f>
        <v>1.488771804200817</v>
      </c>
      <c r="L32" s="6" t="s">
        <v>16</v>
      </c>
      <c r="M32" s="6" t="s">
        <v>16</v>
      </c>
      <c r="N32" s="6">
        <f>10*55*G32^1*H32^0.66*1.5</f>
        <v>235.87079972194368</v>
      </c>
      <c r="O32" s="6">
        <f>9550*K32/I32</f>
        <v>11.557283776571774</v>
      </c>
      <c r="P32" s="2"/>
      <c r="Q32" s="3"/>
    </row>
    <row r="33" spans="1:17" ht="12" thickBot="1">
      <c r="A33" s="16"/>
      <c r="B33" s="18"/>
      <c r="C33" s="19"/>
      <c r="D33" s="16"/>
      <c r="E33" s="6"/>
      <c r="F33" s="6"/>
      <c r="G33" s="7"/>
      <c r="H33" s="7"/>
      <c r="I33" s="6"/>
      <c r="J33" s="6"/>
      <c r="K33" s="8"/>
      <c r="L33" s="6"/>
      <c r="M33" s="6"/>
      <c r="N33" s="6"/>
      <c r="O33" s="6"/>
      <c r="P33" s="2"/>
      <c r="Q33" s="3"/>
    </row>
    <row r="34" spans="1:17" ht="12" thickBot="1">
      <c r="A34" s="16"/>
      <c r="B34" s="18"/>
      <c r="C34" s="19"/>
      <c r="D34" s="16"/>
      <c r="E34" s="6">
        <v>500</v>
      </c>
      <c r="F34" s="6">
        <f>215*1.6/(40^0.2*G34^0.15*H34^0.45)</f>
        <v>386.2828061994039</v>
      </c>
      <c r="G34" s="7">
        <v>1</v>
      </c>
      <c r="H34" s="7">
        <v>0.15</v>
      </c>
      <c r="I34" s="6">
        <f>F34*1000/(3.14*E34)</f>
        <v>246.04000394866495</v>
      </c>
      <c r="J34" s="6">
        <f>N34</f>
        <v>235.87079972194368</v>
      </c>
      <c r="K34" s="8">
        <f>N34*F34/61200</f>
        <v>1.488771804200817</v>
      </c>
      <c r="L34" s="6" t="s">
        <v>16</v>
      </c>
      <c r="M34" s="6" t="s">
        <v>16</v>
      </c>
      <c r="N34" s="6">
        <f>10*55*G34^1*H34^0.66*1.5</f>
        <v>235.87079972194368</v>
      </c>
      <c r="O34" s="6">
        <f>9550*K34/I34</f>
        <v>57.78641888285886</v>
      </c>
      <c r="P34" s="2"/>
      <c r="Q34" s="3"/>
    </row>
    <row r="35" spans="1:17" ht="12" thickBot="1">
      <c r="A35" s="16"/>
      <c r="B35" s="18"/>
      <c r="C35" s="19"/>
      <c r="D35" s="17"/>
      <c r="E35" s="6"/>
      <c r="F35" s="6"/>
      <c r="G35" s="7"/>
      <c r="H35" s="7"/>
      <c r="I35" s="6"/>
      <c r="J35" s="6"/>
      <c r="K35" s="8"/>
      <c r="L35" s="6"/>
      <c r="M35" s="6"/>
      <c r="N35" s="6"/>
      <c r="O35" s="6"/>
      <c r="P35" s="2"/>
      <c r="Q35" s="3"/>
    </row>
    <row r="36" spans="1:17" ht="12" thickBot="1">
      <c r="A36" s="16"/>
      <c r="B36" s="18"/>
      <c r="C36" s="19"/>
      <c r="D36" s="15" t="s">
        <v>28</v>
      </c>
      <c r="E36" s="6">
        <v>100</v>
      </c>
      <c r="F36" s="6">
        <f>270*1.6/(40^0.23*G36^0.12*H36^0.3)</f>
        <v>326.7251538158178</v>
      </c>
      <c r="G36" s="7">
        <v>1</v>
      </c>
      <c r="H36" s="7">
        <v>0.15</v>
      </c>
      <c r="I36" s="6">
        <f>F36*1000/(3.14*E36)</f>
        <v>1040.5259675662987</v>
      </c>
      <c r="J36" s="6">
        <f>N36</f>
        <v>235.87079972194368</v>
      </c>
      <c r="K36" s="8">
        <f>N36*F36/61200</f>
        <v>1.2592307731995425</v>
      </c>
      <c r="L36" s="6" t="s">
        <v>16</v>
      </c>
      <c r="M36" s="6" t="s">
        <v>16</v>
      </c>
      <c r="N36" s="6">
        <f>10*55*G36^1*H36^0.66*1.5</f>
        <v>235.87079972194368</v>
      </c>
      <c r="O36" s="6">
        <f>9550*K36/I36</f>
        <v>11.557283776571774</v>
      </c>
      <c r="P36" s="2"/>
      <c r="Q36" s="3"/>
    </row>
    <row r="37" spans="1:17" ht="12" thickBot="1">
      <c r="A37" s="16"/>
      <c r="B37" s="18"/>
      <c r="C37" s="19"/>
      <c r="D37" s="16"/>
      <c r="E37" s="6"/>
      <c r="F37" s="6"/>
      <c r="G37" s="7"/>
      <c r="H37" s="7"/>
      <c r="I37" s="6"/>
      <c r="J37" s="6"/>
      <c r="K37" s="8"/>
      <c r="L37" s="6"/>
      <c r="M37" s="6"/>
      <c r="N37" s="6"/>
      <c r="O37" s="6"/>
      <c r="P37" s="2"/>
      <c r="Q37" s="3"/>
    </row>
    <row r="38" spans="1:17" ht="12" thickBot="1">
      <c r="A38" s="16"/>
      <c r="B38" s="18"/>
      <c r="C38" s="19"/>
      <c r="D38" s="16"/>
      <c r="E38" s="6">
        <v>500</v>
      </c>
      <c r="F38" s="6">
        <f>270*1.6/(40^0.23*G38^0.12*H38^0.3)</f>
        <v>326.7251538158178</v>
      </c>
      <c r="G38" s="7">
        <v>1</v>
      </c>
      <c r="H38" s="7">
        <v>0.15</v>
      </c>
      <c r="I38" s="6">
        <f>F38*1000/(3.14*E38)</f>
        <v>208.10519351325974</v>
      </c>
      <c r="J38" s="6">
        <f>N38</f>
        <v>235.87079972194368</v>
      </c>
      <c r="K38" s="8">
        <f>N38*F38/61200</f>
        <v>1.2592307731995425</v>
      </c>
      <c r="L38" s="6" t="s">
        <v>16</v>
      </c>
      <c r="M38" s="6" t="s">
        <v>16</v>
      </c>
      <c r="N38" s="6">
        <f>10*55*G38^1*H38^0.66*1.5</f>
        <v>235.87079972194368</v>
      </c>
      <c r="O38" s="6">
        <f>9550*K38/I38</f>
        <v>57.78641888285887</v>
      </c>
      <c r="P38" s="2"/>
      <c r="Q38" s="3"/>
    </row>
    <row r="39" spans="1:17" ht="12" thickBot="1">
      <c r="A39" s="16"/>
      <c r="B39" s="18"/>
      <c r="C39" s="19"/>
      <c r="D39" s="17"/>
      <c r="E39" s="6"/>
      <c r="F39" s="6"/>
      <c r="G39" s="7"/>
      <c r="H39" s="7"/>
      <c r="I39" s="6"/>
      <c r="J39" s="6"/>
      <c r="K39" s="8"/>
      <c r="L39" s="6"/>
      <c r="M39" s="6"/>
      <c r="N39" s="6"/>
      <c r="O39" s="6"/>
      <c r="P39" s="2"/>
      <c r="Q39" s="3"/>
    </row>
    <row r="40" spans="1:17" ht="12" thickBot="1">
      <c r="A40" s="16"/>
      <c r="B40" s="9" t="s">
        <v>11</v>
      </c>
      <c r="C40" s="10"/>
      <c r="D40" s="15" t="s">
        <v>25</v>
      </c>
      <c r="E40" s="6">
        <v>100</v>
      </c>
      <c r="F40" s="6">
        <f>317*1.6/(40^0.2*G40^0.15*H40^0.45)</f>
        <v>569.5425561172607</v>
      </c>
      <c r="G40" s="7">
        <v>1</v>
      </c>
      <c r="H40" s="7">
        <v>0.15</v>
      </c>
      <c r="I40" s="6">
        <f>F40*1000/(3.14*E40)</f>
        <v>1813.8297965517856</v>
      </c>
      <c r="J40" s="6">
        <f>SQRT(L40^2+M40^2+N40^2)</f>
        <v>503.11085030392775</v>
      </c>
      <c r="K40" s="8">
        <f>N40*F40/61200</f>
        <v>3.0954392746496135</v>
      </c>
      <c r="L40" s="6">
        <f>10*46*G40^1*H40^0.4*1.5</f>
        <v>323.06178948318814</v>
      </c>
      <c r="M40" s="6">
        <f>10*54*G40^0.9*H40^0.75*1.5</f>
        <v>195.2331058035504</v>
      </c>
      <c r="N40" s="6">
        <f>10*92*G40^1*H40^0.75*1.5</f>
        <v>332.6193654430858</v>
      </c>
      <c r="O40" s="6">
        <f>9550*K40/I40</f>
        <v>16.29780541101604</v>
      </c>
      <c r="P40" s="2"/>
      <c r="Q40" s="3"/>
    </row>
    <row r="41" spans="1:17" ht="12" thickBot="1">
      <c r="A41" s="16"/>
      <c r="B41" s="11"/>
      <c r="C41" s="12"/>
      <c r="D41" s="16"/>
      <c r="E41" s="6"/>
      <c r="F41" s="6"/>
      <c r="G41" s="7"/>
      <c r="H41" s="7"/>
      <c r="I41" s="6"/>
      <c r="J41" s="6"/>
      <c r="K41" s="8"/>
      <c r="L41" s="6"/>
      <c r="M41" s="6"/>
      <c r="N41" s="6"/>
      <c r="O41" s="6"/>
      <c r="P41" s="2"/>
      <c r="Q41" s="3"/>
    </row>
    <row r="42" spans="1:17" ht="12" thickBot="1">
      <c r="A42" s="16"/>
      <c r="B42" s="11"/>
      <c r="C42" s="12"/>
      <c r="D42" s="16"/>
      <c r="E42" s="6">
        <v>500</v>
      </c>
      <c r="F42" s="6">
        <f>317*1.6/(40^0.2*G42^0.15*H42^0.45)</f>
        <v>569.5425561172607</v>
      </c>
      <c r="G42" s="7">
        <v>1</v>
      </c>
      <c r="H42" s="7">
        <v>0.15</v>
      </c>
      <c r="I42" s="6">
        <f>F42*1000/(3.14*E42)</f>
        <v>362.7659593103571</v>
      </c>
      <c r="J42" s="6">
        <f>SQRT(L42^2+M42^2+N42^2)</f>
        <v>503.11085030392775</v>
      </c>
      <c r="K42" s="8">
        <f>N42*F42/61200</f>
        <v>3.0954392746496135</v>
      </c>
      <c r="L42" s="6">
        <f>10*46*G42^1*H42^0.4*1.5</f>
        <v>323.06178948318814</v>
      </c>
      <c r="M42" s="6">
        <f>10*54*G42^0.9*H42^0.75*1.5</f>
        <v>195.2331058035504</v>
      </c>
      <c r="N42" s="6">
        <f>10*92*G42^1*H42^0.75*1.5</f>
        <v>332.6193654430858</v>
      </c>
      <c r="O42" s="6">
        <f>9550*K42/I42</f>
        <v>81.48902705508019</v>
      </c>
      <c r="P42" s="2"/>
      <c r="Q42" s="3"/>
    </row>
    <row r="43" spans="1:17" ht="12" thickBot="1">
      <c r="A43" s="17"/>
      <c r="B43" s="13"/>
      <c r="C43" s="14"/>
      <c r="D43" s="17"/>
      <c r="E43" s="6"/>
      <c r="F43" s="6"/>
      <c r="G43" s="7"/>
      <c r="H43" s="7"/>
      <c r="I43" s="6"/>
      <c r="J43" s="6"/>
      <c r="K43" s="8"/>
      <c r="L43" s="6"/>
      <c r="M43" s="6"/>
      <c r="N43" s="6"/>
      <c r="O43" s="6"/>
      <c r="P43" s="2"/>
      <c r="Q43" s="3"/>
    </row>
    <row r="44" spans="1:17" ht="12" customHeight="1" thickBot="1">
      <c r="A44" s="16" t="s">
        <v>21</v>
      </c>
      <c r="B44" s="11" t="s">
        <v>6</v>
      </c>
      <c r="C44" s="12"/>
      <c r="D44" s="15" t="s">
        <v>28</v>
      </c>
      <c r="E44" s="6">
        <v>40</v>
      </c>
      <c r="F44" s="6">
        <f>14.8*1.25/(80^0.11*G44^0.7*H44^0.3)</f>
        <v>23.497387220577924</v>
      </c>
      <c r="G44" s="7">
        <v>0.3</v>
      </c>
      <c r="H44" s="7">
        <v>1.5</v>
      </c>
      <c r="I44" s="6">
        <f>F44*1000/(3.14*E44)</f>
        <v>187.08110844409174</v>
      </c>
      <c r="J44" s="6">
        <f>N44</f>
        <v>940.4769429590004</v>
      </c>
      <c r="K44" s="8">
        <f>N44*F44/61200</f>
        <v>0.3610907009923694</v>
      </c>
      <c r="L44" s="6" t="s">
        <v>16</v>
      </c>
      <c r="M44" s="6" t="s">
        <v>16</v>
      </c>
      <c r="N44" s="6">
        <f>10*148*1.5^1.7/5^0.71</f>
        <v>940.4769429590004</v>
      </c>
      <c r="O44" s="6">
        <f>9550*K44/I44</f>
        <v>18.432733391184016</v>
      </c>
      <c r="P44" s="2"/>
      <c r="Q44" s="3"/>
    </row>
    <row r="45" spans="1:17" ht="12" thickBot="1">
      <c r="A45" s="16"/>
      <c r="B45" s="11"/>
      <c r="C45" s="12"/>
      <c r="D45" s="16"/>
      <c r="E45" s="6"/>
      <c r="F45" s="6"/>
      <c r="G45" s="7"/>
      <c r="H45" s="7"/>
      <c r="I45" s="6"/>
      <c r="J45" s="6"/>
      <c r="K45" s="8"/>
      <c r="L45" s="6"/>
      <c r="M45" s="6"/>
      <c r="N45" s="6"/>
      <c r="O45" s="6"/>
      <c r="P45" s="2"/>
      <c r="Q45" s="3"/>
    </row>
    <row r="46" spans="1:17" ht="12" thickBot="1">
      <c r="A46" s="16"/>
      <c r="B46" s="11"/>
      <c r="C46" s="12"/>
      <c r="D46" s="16"/>
      <c r="E46" s="6">
        <v>200</v>
      </c>
      <c r="F46" s="6">
        <f>30*1.25/(80^0.08*G46^0.6*H46^0.25)</f>
        <v>25.57786280561026</v>
      </c>
      <c r="G46" s="7">
        <v>0.5</v>
      </c>
      <c r="H46" s="7">
        <v>6</v>
      </c>
      <c r="I46" s="6">
        <f>F46*1000/(3.14*E46)</f>
        <v>40.72908090065328</v>
      </c>
      <c r="J46" s="6">
        <f>N46</f>
        <v>1037.522649576529</v>
      </c>
      <c r="K46" s="8">
        <f>N46*F46/61200</f>
        <v>0.4336211109245377</v>
      </c>
      <c r="L46" s="6" t="s">
        <v>16</v>
      </c>
      <c r="M46" s="6" t="s">
        <v>16</v>
      </c>
      <c r="N46" s="6">
        <f>10*148*6^1.7/30</f>
        <v>1037.522649576529</v>
      </c>
      <c r="O46" s="6">
        <f>9550*K46/I46</f>
        <v>101.6738290616058</v>
      </c>
      <c r="P46" s="2"/>
      <c r="Q46" s="3"/>
    </row>
    <row r="47" spans="1:17" ht="12" thickBot="1">
      <c r="A47" s="16"/>
      <c r="B47" s="13"/>
      <c r="C47" s="14"/>
      <c r="D47" s="17"/>
      <c r="E47" s="6"/>
      <c r="F47" s="6"/>
      <c r="G47" s="7"/>
      <c r="H47" s="7"/>
      <c r="I47" s="6"/>
      <c r="J47" s="6"/>
      <c r="K47" s="8"/>
      <c r="L47" s="6"/>
      <c r="M47" s="6"/>
      <c r="N47" s="6"/>
      <c r="O47" s="6"/>
      <c r="P47" s="2"/>
      <c r="Q47" s="3"/>
    </row>
    <row r="48" spans="1:17" ht="12" customHeight="1" thickBot="1">
      <c r="A48" s="16"/>
      <c r="B48" s="9" t="s">
        <v>7</v>
      </c>
      <c r="C48" s="10"/>
      <c r="D48" s="15" t="s">
        <v>28</v>
      </c>
      <c r="E48" s="6">
        <v>40</v>
      </c>
      <c r="F48" s="6">
        <f>20*1.25/(90^0.11*G48^0.7*H48^0.3)</f>
        <v>31.34448052367123</v>
      </c>
      <c r="G48" s="7">
        <v>0.3</v>
      </c>
      <c r="H48" s="7">
        <v>1.5</v>
      </c>
      <c r="I48" s="6">
        <f>F48*1000/(3.14*E48)</f>
        <v>249.5579659527964</v>
      </c>
      <c r="J48" s="6">
        <f>N48</f>
        <v>571.0131205695586</v>
      </c>
      <c r="K48" s="8">
        <f>N48*F48/61200</f>
        <v>0.2924527718374716</v>
      </c>
      <c r="L48" s="6" t="s">
        <v>16</v>
      </c>
      <c r="M48" s="6" t="s">
        <v>16</v>
      </c>
      <c r="N48" s="6">
        <f>10*103*1.5^1.8/5^0.82</f>
        <v>571.0131205695586</v>
      </c>
      <c r="O48" s="6">
        <f>9550*K48/I48</f>
        <v>11.191483951973435</v>
      </c>
      <c r="P48" s="2"/>
      <c r="Q48" s="3"/>
    </row>
    <row r="49" spans="1:17" ht="12" thickBot="1">
      <c r="A49" s="16"/>
      <c r="B49" s="11"/>
      <c r="C49" s="12"/>
      <c r="D49" s="16"/>
      <c r="E49" s="6"/>
      <c r="F49" s="6"/>
      <c r="G49" s="7"/>
      <c r="H49" s="7"/>
      <c r="I49" s="6"/>
      <c r="J49" s="6"/>
      <c r="K49" s="8"/>
      <c r="L49" s="6"/>
      <c r="M49" s="6"/>
      <c r="N49" s="6"/>
      <c r="O49" s="6"/>
      <c r="P49" s="2"/>
      <c r="Q49" s="3"/>
    </row>
    <row r="50" spans="1:17" ht="12" thickBot="1">
      <c r="A50" s="16"/>
      <c r="B50" s="11"/>
      <c r="C50" s="12"/>
      <c r="D50" s="16"/>
      <c r="E50" s="6">
        <v>200</v>
      </c>
      <c r="F50" s="6">
        <f>30*1.25/(90^0.08*G50^0.6*H50^0.25)</f>
        <v>25.33798366203844</v>
      </c>
      <c r="G50" s="7">
        <v>0.5</v>
      </c>
      <c r="H50" s="7">
        <v>6</v>
      </c>
      <c r="I50" s="6">
        <f>F50*1000/(3.14*E50)</f>
        <v>40.34710774209943</v>
      </c>
      <c r="J50" s="6">
        <f>N50</f>
        <v>863.7503188016722</v>
      </c>
      <c r="K50" s="8">
        <f>N50*F50/61200</f>
        <v>0.35760933767773306</v>
      </c>
      <c r="L50" s="6" t="s">
        <v>16</v>
      </c>
      <c r="M50" s="6" t="s">
        <v>16</v>
      </c>
      <c r="N50" s="6">
        <f>10*103*6^1.8/30</f>
        <v>863.7503188016722</v>
      </c>
      <c r="O50" s="6">
        <f>9550*K50/I50</f>
        <v>84.64470852910372</v>
      </c>
      <c r="P50" s="2"/>
      <c r="Q50" s="3"/>
    </row>
    <row r="51" spans="1:17" ht="12" thickBot="1">
      <c r="A51" s="16"/>
      <c r="B51" s="13"/>
      <c r="C51" s="14"/>
      <c r="D51" s="17"/>
      <c r="E51" s="6"/>
      <c r="F51" s="6"/>
      <c r="G51" s="7"/>
      <c r="H51" s="7"/>
      <c r="I51" s="6"/>
      <c r="J51" s="6"/>
      <c r="K51" s="8"/>
      <c r="L51" s="6"/>
      <c r="M51" s="6"/>
      <c r="N51" s="6"/>
      <c r="O51" s="6"/>
      <c r="P51" s="2"/>
      <c r="Q51" s="3"/>
    </row>
    <row r="52" spans="1:17" ht="12" thickBot="1">
      <c r="A52" s="16"/>
      <c r="B52" s="9" t="s">
        <v>11</v>
      </c>
      <c r="C52" s="10"/>
      <c r="D52" s="15" t="s">
        <v>33</v>
      </c>
      <c r="E52" s="6">
        <v>40</v>
      </c>
      <c r="F52" s="6">
        <f>83*5^0.45/(70^0.33*G52^0.45)</f>
        <v>72.44821280339235</v>
      </c>
      <c r="G52" s="7">
        <v>0.3</v>
      </c>
      <c r="H52" s="7">
        <v>1.5</v>
      </c>
      <c r="I52" s="6">
        <f>F52*1000/(3.14*E52)</f>
        <v>576.8169809187289</v>
      </c>
      <c r="J52" s="6">
        <f>N52</f>
        <v>536.7621485237974</v>
      </c>
      <c r="K52" s="8">
        <f>N52*F52/61200</f>
        <v>0.6354159862918001</v>
      </c>
      <c r="L52" s="6" t="s">
        <v>16</v>
      </c>
      <c r="M52" s="6" t="s">
        <v>16</v>
      </c>
      <c r="N52" s="6">
        <f>10*103*1.5^1.8/7^0.71</f>
        <v>536.7621485237974</v>
      </c>
      <c r="O52" s="6">
        <f>9550*K52/I52</f>
        <v>10.520187286132755</v>
      </c>
      <c r="Q52" s="3"/>
    </row>
    <row r="53" spans="1:17" ht="12" thickBot="1">
      <c r="A53" s="16"/>
      <c r="B53" s="11"/>
      <c r="C53" s="12"/>
      <c r="D53" s="16"/>
      <c r="E53" s="6"/>
      <c r="F53" s="6"/>
      <c r="G53" s="7"/>
      <c r="H53" s="7"/>
      <c r="I53" s="6"/>
      <c r="J53" s="6"/>
      <c r="K53" s="8"/>
      <c r="L53" s="6"/>
      <c r="M53" s="6"/>
      <c r="N53" s="6"/>
      <c r="O53" s="6"/>
      <c r="Q53" s="3"/>
    </row>
    <row r="54" spans="1:17" ht="12" thickBot="1">
      <c r="A54" s="16"/>
      <c r="B54" s="11"/>
      <c r="C54" s="12"/>
      <c r="D54" s="16"/>
      <c r="E54" s="6">
        <v>200</v>
      </c>
      <c r="F54" s="6">
        <f>83*7^0.45/(70^0.33*G54^0.45)</f>
        <v>66.98126652883151</v>
      </c>
      <c r="G54" s="7">
        <v>0.5</v>
      </c>
      <c r="H54" s="7">
        <v>6</v>
      </c>
      <c r="I54" s="6">
        <f>F54*1000/(3.14*E54)</f>
        <v>106.6580677210693</v>
      </c>
      <c r="J54" s="6">
        <f>N54</f>
        <v>1036.5003825620065</v>
      </c>
      <c r="K54" s="8">
        <f>N54*F54/61200</f>
        <v>1.1344135356474114</v>
      </c>
      <c r="L54" s="6" t="s">
        <v>16</v>
      </c>
      <c r="M54" s="6" t="s">
        <v>16</v>
      </c>
      <c r="N54" s="6">
        <f>10*103*6^1.8/25</f>
        <v>1036.5003825620065</v>
      </c>
      <c r="O54" s="6">
        <f>9550*K54/I54</f>
        <v>101.57365023492446</v>
      </c>
      <c r="Q54" s="3"/>
    </row>
    <row r="55" spans="1:17" ht="12" thickBot="1">
      <c r="A55" s="17"/>
      <c r="B55" s="13"/>
      <c r="C55" s="14"/>
      <c r="D55" s="17"/>
      <c r="E55" s="6"/>
      <c r="F55" s="6"/>
      <c r="G55" s="7"/>
      <c r="H55" s="7"/>
      <c r="I55" s="6"/>
      <c r="J55" s="6"/>
      <c r="K55" s="8"/>
      <c r="L55" s="6"/>
      <c r="M55" s="6"/>
      <c r="N55" s="6"/>
      <c r="O55" s="6"/>
      <c r="Q55" s="3"/>
    </row>
    <row r="56" spans="1:15" ht="12" customHeight="1" thickBot="1">
      <c r="A56" s="16" t="s">
        <v>32</v>
      </c>
      <c r="B56" s="11" t="s">
        <v>6</v>
      </c>
      <c r="C56" s="12"/>
      <c r="D56" s="15" t="s">
        <v>28</v>
      </c>
      <c r="E56" s="6">
        <v>40</v>
      </c>
      <c r="F56" s="6">
        <f>14.8*1.25/(80^0.11*G56^0.7*H56^0.3)</f>
        <v>8.566784193793728</v>
      </c>
      <c r="G56" s="7">
        <v>0.7</v>
      </c>
      <c r="H56" s="7">
        <v>6</v>
      </c>
      <c r="I56" s="6">
        <f>F56*1000/(3.14*E56)</f>
        <v>68.20688052383541</v>
      </c>
      <c r="J56" s="6">
        <f>N56</f>
        <v>1296.9033119706612</v>
      </c>
      <c r="K56" s="8">
        <f>N56*F56/61200</f>
        <v>0.18154069924622543</v>
      </c>
      <c r="L56" s="6" t="s">
        <v>16</v>
      </c>
      <c r="M56" s="6" t="s">
        <v>16</v>
      </c>
      <c r="N56" s="6">
        <f>10*148*6^1.7/24</f>
        <v>1296.9033119706612</v>
      </c>
      <c r="O56" s="6">
        <f>9550*K56/I56</f>
        <v>25.41845726540145</v>
      </c>
    </row>
    <row r="57" spans="1:15" ht="12" thickBot="1">
      <c r="A57" s="16"/>
      <c r="B57" s="11"/>
      <c r="C57" s="12"/>
      <c r="D57" s="16"/>
      <c r="E57" s="6"/>
      <c r="F57" s="6"/>
      <c r="G57" s="7"/>
      <c r="H57" s="7"/>
      <c r="I57" s="6"/>
      <c r="J57" s="6"/>
      <c r="K57" s="8"/>
      <c r="L57" s="6"/>
      <c r="M57" s="6"/>
      <c r="N57" s="6"/>
      <c r="O57" s="6"/>
    </row>
    <row r="58" spans="1:15" ht="12" thickBot="1">
      <c r="A58" s="16"/>
      <c r="B58" s="11"/>
      <c r="C58" s="12"/>
      <c r="D58" s="16"/>
      <c r="E58" s="6">
        <v>200</v>
      </c>
      <c r="F58" s="6">
        <f>30*1.25/(80^0.08*G58^0.6*H58^0.25)</f>
        <v>11.932494925318288</v>
      </c>
      <c r="G58" s="7">
        <v>1</v>
      </c>
      <c r="H58" s="7">
        <v>24</v>
      </c>
      <c r="I58" s="6">
        <f>F58*1000/(3.14*E58)</f>
        <v>19.000788097640587</v>
      </c>
      <c r="J58" s="6">
        <f>N58</f>
        <v>1387.91306658423</v>
      </c>
      <c r="K58" s="8">
        <f>N58*F58/61200</f>
        <v>0.27060891542155663</v>
      </c>
      <c r="L58" s="6" t="s">
        <v>16</v>
      </c>
      <c r="M58" s="6" t="s">
        <v>16</v>
      </c>
      <c r="N58" s="6">
        <f>10*148*24^1.05/30</f>
        <v>1387.91306658423</v>
      </c>
      <c r="O58" s="6">
        <f>9550*K58/I58</f>
        <v>136.01094486163822</v>
      </c>
    </row>
    <row r="59" spans="1:15" ht="12" thickBot="1">
      <c r="A59" s="16"/>
      <c r="B59" s="13"/>
      <c r="C59" s="14"/>
      <c r="D59" s="17"/>
      <c r="E59" s="6"/>
      <c r="F59" s="6"/>
      <c r="G59" s="7"/>
      <c r="H59" s="7"/>
      <c r="I59" s="6"/>
      <c r="J59" s="6"/>
      <c r="K59" s="8"/>
      <c r="L59" s="6"/>
      <c r="M59" s="6"/>
      <c r="N59" s="6"/>
      <c r="O59" s="6"/>
    </row>
    <row r="60" spans="1:15" ht="12" customHeight="1" thickBot="1">
      <c r="A60" s="16"/>
      <c r="B60" s="9" t="s">
        <v>7</v>
      </c>
      <c r="C60" s="10"/>
      <c r="D60" s="15" t="s">
        <v>28</v>
      </c>
      <c r="E60" s="6">
        <v>40</v>
      </c>
      <c r="F60" s="6">
        <f>20*1.25/(90^0.11*G60^0.7*H60^0.3)</f>
        <v>11.427713123683105</v>
      </c>
      <c r="G60" s="7">
        <v>0.7</v>
      </c>
      <c r="H60" s="7">
        <v>6</v>
      </c>
      <c r="I60" s="6">
        <f>F60*1000/(3.14*E60)</f>
        <v>90.98497709938776</v>
      </c>
      <c r="J60" s="6">
        <f>N60</f>
        <v>905.4182199393083</v>
      </c>
      <c r="K60" s="8">
        <f>N60*F60/61200</f>
        <v>0.16906633454938286</v>
      </c>
      <c r="L60" s="6" t="s">
        <v>16</v>
      </c>
      <c r="M60" s="6" t="s">
        <v>16</v>
      </c>
      <c r="N60" s="6">
        <f>10*103*6^1.6/20</f>
        <v>905.4182199393083</v>
      </c>
      <c r="O60" s="6">
        <f>9550*K60/I60</f>
        <v>17.74560533419611</v>
      </c>
    </row>
    <row r="61" spans="1:15" ht="12" thickBot="1">
      <c r="A61" s="16"/>
      <c r="B61" s="11"/>
      <c r="C61" s="12"/>
      <c r="D61" s="16"/>
      <c r="E61" s="6"/>
      <c r="F61" s="6"/>
      <c r="G61" s="7"/>
      <c r="H61" s="7"/>
      <c r="I61" s="6"/>
      <c r="J61" s="6"/>
      <c r="K61" s="8"/>
      <c r="L61" s="6"/>
      <c r="M61" s="6"/>
      <c r="N61" s="6"/>
      <c r="O61" s="6"/>
    </row>
    <row r="62" spans="1:15" ht="12" thickBot="1">
      <c r="A62" s="16"/>
      <c r="B62" s="11"/>
      <c r="C62" s="12"/>
      <c r="D62" s="16"/>
      <c r="E62" s="6">
        <v>200</v>
      </c>
      <c r="F62" s="6">
        <f>30*1.25/(90^0.08*G62^0.6*H62^0.25)</f>
        <v>11.820587347851236</v>
      </c>
      <c r="G62" s="7">
        <v>1</v>
      </c>
      <c r="H62" s="7">
        <v>24</v>
      </c>
      <c r="I62" s="6">
        <f>F62*1000/(3.14*E62)</f>
        <v>18.82259131823445</v>
      </c>
      <c r="J62" s="6">
        <f>N62</f>
        <v>1132.2656597009095</v>
      </c>
      <c r="K62" s="8">
        <f>N62*F62/61200</f>
        <v>0.21869354789978762</v>
      </c>
      <c r="L62" s="6" t="s">
        <v>16</v>
      </c>
      <c r="M62" s="6" t="s">
        <v>16</v>
      </c>
      <c r="N62" s="6">
        <f>10*103*24^1.1/30</f>
        <v>1132.2656597009095</v>
      </c>
      <c r="O62" s="6">
        <f>9550*K62/I62</f>
        <v>110.95833443611495</v>
      </c>
    </row>
    <row r="63" spans="1:15" ht="12" thickBot="1">
      <c r="A63" s="16"/>
      <c r="B63" s="13"/>
      <c r="C63" s="14"/>
      <c r="D63" s="17"/>
      <c r="E63" s="6"/>
      <c r="F63" s="6"/>
      <c r="G63" s="7"/>
      <c r="H63" s="7"/>
      <c r="I63" s="6"/>
      <c r="J63" s="6"/>
      <c r="K63" s="8"/>
      <c r="L63" s="6"/>
      <c r="M63" s="6"/>
      <c r="N63" s="6"/>
      <c r="O63" s="6"/>
    </row>
    <row r="64" spans="1:15" ht="12" thickBot="1">
      <c r="A64" s="16"/>
      <c r="B64" s="9" t="s">
        <v>11</v>
      </c>
      <c r="C64" s="10"/>
      <c r="D64" s="15" t="s">
        <v>33</v>
      </c>
      <c r="E64" s="6">
        <v>40</v>
      </c>
      <c r="F64" s="6">
        <f>55*11^0.45/(70^0.11*G64^0.7*H64^0.3)</f>
        <v>76.0351855836094</v>
      </c>
      <c r="G64" s="7">
        <v>0.7</v>
      </c>
      <c r="H64" s="7">
        <v>6</v>
      </c>
      <c r="I64" s="6">
        <f>F64*1000/(3.14*E64)</f>
        <v>605.375681398164</v>
      </c>
      <c r="J64" s="6">
        <f>N64</f>
        <v>1099.4759696368865</v>
      </c>
      <c r="K64" s="8">
        <f>N64*F64/61200</f>
        <v>1.3659944345761366</v>
      </c>
      <c r="L64" s="6" t="s">
        <v>16</v>
      </c>
      <c r="M64" s="6" t="s">
        <v>16</v>
      </c>
      <c r="N64" s="6">
        <f>10*103*6/11^0.72</f>
        <v>1099.4759696368865</v>
      </c>
      <c r="O64" s="6">
        <f>9550*K64/I64</f>
        <v>21.54901039313811</v>
      </c>
    </row>
    <row r="65" spans="1:15" ht="12" thickBot="1">
      <c r="A65" s="16"/>
      <c r="B65" s="11"/>
      <c r="C65" s="12"/>
      <c r="D65" s="16"/>
      <c r="E65" s="6"/>
      <c r="F65" s="6"/>
      <c r="G65" s="7"/>
      <c r="H65" s="7"/>
      <c r="I65" s="6"/>
      <c r="J65" s="6"/>
      <c r="K65" s="8"/>
      <c r="L65" s="6"/>
      <c r="M65" s="6"/>
      <c r="N65" s="6"/>
      <c r="O65" s="6"/>
    </row>
    <row r="66" spans="1:15" ht="12" thickBot="1">
      <c r="A66" s="16"/>
      <c r="B66" s="11"/>
      <c r="C66" s="12"/>
      <c r="D66" s="16"/>
      <c r="E66" s="6">
        <v>200</v>
      </c>
      <c r="F66" s="6">
        <f>83*19^0.45/(70^0.33*G66^0.45)</f>
        <v>76.84840526842886</v>
      </c>
      <c r="G66" s="7">
        <v>1</v>
      </c>
      <c r="H66" s="7">
        <v>24</v>
      </c>
      <c r="I66" s="6">
        <f>F66*1000/(3.14*E66)</f>
        <v>122.37007208348545</v>
      </c>
      <c r="J66" s="6">
        <f>N66</f>
        <v>1196.5232233043068</v>
      </c>
      <c r="K66" s="8">
        <f>N66*F66/61200</f>
        <v>1.5024657120518983</v>
      </c>
      <c r="L66" s="6" t="s">
        <v>16</v>
      </c>
      <c r="M66" s="6" t="s">
        <v>16</v>
      </c>
      <c r="N66" s="6">
        <f>10*103*24^1.06/25</f>
        <v>1196.5232233043068</v>
      </c>
      <c r="O66" s="6">
        <f>9550*K66/I66</f>
        <v>117.25536567720997</v>
      </c>
    </row>
    <row r="67" spans="1:15" ht="12" thickBot="1">
      <c r="A67" s="17"/>
      <c r="B67" s="13"/>
      <c r="C67" s="14"/>
      <c r="D67" s="17"/>
      <c r="E67" s="6"/>
      <c r="F67" s="6"/>
      <c r="G67" s="7"/>
      <c r="H67" s="7"/>
      <c r="I67" s="6"/>
      <c r="J67" s="6"/>
      <c r="K67" s="8"/>
      <c r="L67" s="6"/>
      <c r="M67" s="6"/>
      <c r="N67" s="6"/>
      <c r="O67" s="6"/>
    </row>
    <row r="68" spans="1:15" ht="12" thickBot="1">
      <c r="A68" s="15" t="s">
        <v>8</v>
      </c>
      <c r="B68" s="9" t="s">
        <v>6</v>
      </c>
      <c r="C68" s="10"/>
      <c r="D68" s="15" t="s">
        <v>27</v>
      </c>
      <c r="E68" s="6">
        <v>100</v>
      </c>
      <c r="F68" s="6">
        <v>250</v>
      </c>
      <c r="G68" s="7">
        <v>0.15</v>
      </c>
      <c r="H68" s="7">
        <v>0.06</v>
      </c>
      <c r="I68" s="6">
        <f>F68*1000/(3.14*E68)</f>
        <v>796.1783439490446</v>
      </c>
      <c r="J68" s="6">
        <f>SQRT(L68^2+M68^2+N68^2)</f>
        <v>47.3578310283383</v>
      </c>
      <c r="K68" s="8">
        <f>N68*F68/61200</f>
        <v>0.14602082433475558</v>
      </c>
      <c r="L68" s="6">
        <f>10*339*G68^1*H68^0.5*F68^(-0.4)*1.5</f>
        <v>20.524937249698343</v>
      </c>
      <c r="M68" s="6">
        <f>10*243*G68^0.9*H68^0.6*F68^(-0.3)*1.5</f>
        <v>23.317845125148796</v>
      </c>
      <c r="N68" s="6">
        <f>10*300*G68*H68^0.75*F68^(-0.15)*1.5</f>
        <v>35.74589779714817</v>
      </c>
      <c r="O68" s="6">
        <f>9550*K68/I68</f>
        <v>1.7514905837305261</v>
      </c>
    </row>
    <row r="69" spans="1:15" ht="12" thickBot="1">
      <c r="A69" s="16"/>
      <c r="B69" s="11"/>
      <c r="C69" s="12"/>
      <c r="D69" s="16"/>
      <c r="E69" s="6"/>
      <c r="F69" s="6"/>
      <c r="G69" s="7"/>
      <c r="H69" s="7"/>
      <c r="I69" s="6"/>
      <c r="J69" s="6"/>
      <c r="K69" s="8"/>
      <c r="L69" s="6"/>
      <c r="M69" s="6"/>
      <c r="N69" s="6"/>
      <c r="O69" s="6"/>
    </row>
    <row r="70" spans="1:15" ht="12" thickBot="1">
      <c r="A70" s="16"/>
      <c r="B70" s="11"/>
      <c r="C70" s="12"/>
      <c r="D70" s="16"/>
      <c r="E70" s="6">
        <v>400</v>
      </c>
      <c r="F70" s="6">
        <v>250</v>
      </c>
      <c r="G70" s="7">
        <v>0.15</v>
      </c>
      <c r="H70" s="7">
        <v>0.06</v>
      </c>
      <c r="I70" s="6">
        <f>F70*1000/(3.14*E70)</f>
        <v>199.04458598726114</v>
      </c>
      <c r="J70" s="6">
        <f>SQRT(L70^2+M70^2+N70^2)</f>
        <v>47.3578310283383</v>
      </c>
      <c r="K70" s="8">
        <f>N70*F70/61200</f>
        <v>0.14602082433475558</v>
      </c>
      <c r="L70" s="6">
        <f>10*339*G70^1*H70^0.5*F70^(-0.4)*1.5</f>
        <v>20.524937249698343</v>
      </c>
      <c r="M70" s="6">
        <f>10*243*G70^0.9*H70^0.6*F70^(-0.3)*1.5</f>
        <v>23.317845125148796</v>
      </c>
      <c r="N70" s="6">
        <f>10*300*G70^1*H70^0.75*F70^(-0.15)*1.5</f>
        <v>35.74589779714817</v>
      </c>
      <c r="O70" s="6">
        <f>9550*K70/I70</f>
        <v>7.0059623349221045</v>
      </c>
    </row>
    <row r="71" spans="1:15" ht="12" thickBot="1">
      <c r="A71" s="16"/>
      <c r="B71" s="13"/>
      <c r="C71" s="14"/>
      <c r="D71" s="17"/>
      <c r="E71" s="6"/>
      <c r="F71" s="6"/>
      <c r="G71" s="7"/>
      <c r="H71" s="7"/>
      <c r="I71" s="6"/>
      <c r="J71" s="6"/>
      <c r="K71" s="8"/>
      <c r="L71" s="6"/>
      <c r="M71" s="6"/>
      <c r="N71" s="6"/>
      <c r="O71" s="6"/>
    </row>
    <row r="72" spans="1:15" ht="12" thickBot="1">
      <c r="A72" s="16"/>
      <c r="B72" s="18" t="s">
        <v>4</v>
      </c>
      <c r="C72" s="19"/>
      <c r="D72" s="15" t="s">
        <v>26</v>
      </c>
      <c r="E72" s="6">
        <v>100</v>
      </c>
      <c r="F72" s="6">
        <v>500</v>
      </c>
      <c r="G72" s="7">
        <v>0.15</v>
      </c>
      <c r="H72" s="7">
        <v>0.04</v>
      </c>
      <c r="I72" s="6">
        <f>F72*1000/(3.14*E72)</f>
        <v>1592.3566878980891</v>
      </c>
      <c r="J72" s="6">
        <f>N72</f>
        <v>14.78784200528122</v>
      </c>
      <c r="K72" s="8">
        <f>N72*F72/61200</f>
        <v>0.12081570265752631</v>
      </c>
      <c r="L72" s="6" t="s">
        <v>16</v>
      </c>
      <c r="M72" s="6" t="s">
        <v>16</v>
      </c>
      <c r="N72" s="6">
        <f>10*55*G72^1*H72^0.66*1.5</f>
        <v>14.78784200528122</v>
      </c>
      <c r="O72" s="6">
        <f>9550*K72/I72</f>
        <v>0.7245800951182483</v>
      </c>
    </row>
    <row r="73" spans="1:15" ht="12" thickBot="1">
      <c r="A73" s="16"/>
      <c r="B73" s="18"/>
      <c r="C73" s="19"/>
      <c r="D73" s="16"/>
      <c r="E73" s="6"/>
      <c r="F73" s="6"/>
      <c r="G73" s="7"/>
      <c r="H73" s="7"/>
      <c r="I73" s="6"/>
      <c r="J73" s="6"/>
      <c r="K73" s="8"/>
      <c r="L73" s="6"/>
      <c r="M73" s="6"/>
      <c r="N73" s="6"/>
      <c r="O73" s="6"/>
    </row>
    <row r="74" spans="1:15" ht="12" thickBot="1">
      <c r="A74" s="16"/>
      <c r="B74" s="18"/>
      <c r="C74" s="19"/>
      <c r="D74" s="16"/>
      <c r="E74" s="6">
        <v>400</v>
      </c>
      <c r="F74" s="6">
        <v>500</v>
      </c>
      <c r="G74" s="7">
        <v>0.15</v>
      </c>
      <c r="H74" s="7">
        <v>0.04</v>
      </c>
      <c r="I74" s="6">
        <f>F74*1000/(3.14*E74)</f>
        <v>398.0891719745223</v>
      </c>
      <c r="J74" s="6">
        <f>N74</f>
        <v>14.78784200528122</v>
      </c>
      <c r="K74" s="8">
        <f>N74*F74/61200</f>
        <v>0.12081570265752631</v>
      </c>
      <c r="L74" s="6" t="s">
        <v>16</v>
      </c>
      <c r="M74" s="6" t="s">
        <v>16</v>
      </c>
      <c r="N74" s="6">
        <f>10*55*G74^1*H74^0.66*1.5</f>
        <v>14.78784200528122</v>
      </c>
      <c r="O74" s="6">
        <f>9550*K74/I74</f>
        <v>2.898320380472993</v>
      </c>
    </row>
    <row r="75" spans="1:15" ht="12" thickBot="1">
      <c r="A75" s="16"/>
      <c r="B75" s="18"/>
      <c r="C75" s="19"/>
      <c r="D75" s="17"/>
      <c r="E75" s="6"/>
      <c r="F75" s="6"/>
      <c r="G75" s="7"/>
      <c r="H75" s="7"/>
      <c r="I75" s="6"/>
      <c r="J75" s="6"/>
      <c r="K75" s="8"/>
      <c r="L75" s="6"/>
      <c r="M75" s="6"/>
      <c r="N75" s="6"/>
      <c r="O75" s="6"/>
    </row>
    <row r="76" spans="1:15" ht="12" thickBot="1">
      <c r="A76" s="16"/>
      <c r="B76" s="9" t="s">
        <v>11</v>
      </c>
      <c r="C76" s="10"/>
      <c r="D76" s="15" t="s">
        <v>29</v>
      </c>
      <c r="E76" s="6">
        <v>100</v>
      </c>
      <c r="F76" s="6">
        <v>200</v>
      </c>
      <c r="G76" s="7">
        <v>0.15</v>
      </c>
      <c r="H76" s="7">
        <v>0.12</v>
      </c>
      <c r="I76" s="6">
        <f>F76*1000/(3.14*E76)</f>
        <v>636.9426751592357</v>
      </c>
      <c r="J76" s="6">
        <f>SQRT(L76^2+M76^2+N76^2)</f>
        <v>68.13517584039032</v>
      </c>
      <c r="K76" s="8">
        <f>N76*F76/61200</f>
        <v>0.1379224151699429</v>
      </c>
      <c r="L76" s="6">
        <f>10*46*G76^1*H76^0.4*1.5</f>
        <v>44.3213365246033</v>
      </c>
      <c r="M76" s="6">
        <f>10*54*G76^0.9*H76^0.75*1.5</f>
        <v>29.946983724397374</v>
      </c>
      <c r="N76" s="6">
        <f>10*92*G76^1*H76^0.75*1.5</f>
        <v>42.20425904200253</v>
      </c>
      <c r="O76" s="6">
        <f>9550*K76/I76</f>
        <v>2.067939731850539</v>
      </c>
    </row>
    <row r="77" spans="1:15" ht="12" thickBot="1">
      <c r="A77" s="16"/>
      <c r="B77" s="11"/>
      <c r="C77" s="12"/>
      <c r="D77" s="16"/>
      <c r="E77" s="6"/>
      <c r="F77" s="6"/>
      <c r="G77" s="7"/>
      <c r="H77" s="7"/>
      <c r="I77" s="6"/>
      <c r="J77" s="6"/>
      <c r="K77" s="8"/>
      <c r="L77" s="6"/>
      <c r="M77" s="6"/>
      <c r="N77" s="6"/>
      <c r="O77" s="6"/>
    </row>
    <row r="78" spans="1:15" ht="12" thickBot="1">
      <c r="A78" s="16"/>
      <c r="B78" s="11"/>
      <c r="C78" s="12"/>
      <c r="D78" s="16"/>
      <c r="E78" s="6">
        <v>400</v>
      </c>
      <c r="F78" s="6">
        <v>200</v>
      </c>
      <c r="G78" s="7">
        <v>0.15</v>
      </c>
      <c r="H78" s="7">
        <v>0.12</v>
      </c>
      <c r="I78" s="6">
        <f>F78*1000/(3.14*E78)</f>
        <v>159.23566878980893</v>
      </c>
      <c r="J78" s="6">
        <f>SQRT(L78^2+M78^2+N78^2)</f>
        <v>68.13517584039032</v>
      </c>
      <c r="K78" s="8">
        <f>N78*F78/61200</f>
        <v>0.1379224151699429</v>
      </c>
      <c r="L78" s="6">
        <f>10*46*G78^1*H78^0.4*1.5</f>
        <v>44.3213365246033</v>
      </c>
      <c r="M78" s="6">
        <f>10*54*G78^0.9*H78^0.75*1.5</f>
        <v>29.946983724397374</v>
      </c>
      <c r="N78" s="6">
        <f>10*92*G78^1*H78^0.75*1.5</f>
        <v>42.20425904200253</v>
      </c>
      <c r="O78" s="6">
        <f>9550*K78/I78</f>
        <v>8.271758927402155</v>
      </c>
    </row>
    <row r="79" spans="1:15" ht="12" thickBot="1">
      <c r="A79" s="17"/>
      <c r="B79" s="13"/>
      <c r="C79" s="14"/>
      <c r="D79" s="17"/>
      <c r="E79" s="6"/>
      <c r="F79" s="6"/>
      <c r="G79" s="7"/>
      <c r="H79" s="7"/>
      <c r="I79" s="6"/>
      <c r="J79" s="6"/>
      <c r="K79" s="8"/>
      <c r="L79" s="6"/>
      <c r="M79" s="6"/>
      <c r="N79" s="6"/>
      <c r="O79" s="6"/>
    </row>
    <row r="87" spans="1:5" ht="11.25">
      <c r="A87" s="4"/>
      <c r="B87" s="4"/>
      <c r="C87" s="4"/>
      <c r="D87" s="4"/>
      <c r="E87" s="4"/>
    </row>
    <row r="88" spans="1:5" ht="11.25">
      <c r="A88" s="4"/>
      <c r="B88" s="4"/>
      <c r="C88" s="4"/>
      <c r="D88" s="4"/>
      <c r="E88" s="4"/>
    </row>
    <row r="89" spans="1:5" ht="11.25">
      <c r="A89" s="4"/>
      <c r="B89" s="4"/>
      <c r="C89" s="4"/>
      <c r="D89" s="4"/>
      <c r="E89" s="4"/>
    </row>
    <row r="90" spans="1:5" ht="11.25">
      <c r="A90" s="4"/>
      <c r="B90" s="4"/>
      <c r="C90" s="4"/>
      <c r="D90" s="4"/>
      <c r="E90" s="4"/>
    </row>
    <row r="91" spans="1:5" ht="11.25">
      <c r="A91" s="4"/>
      <c r="B91" s="4"/>
      <c r="C91" s="4"/>
      <c r="D91" s="4"/>
      <c r="E91" s="4"/>
    </row>
    <row r="92" spans="1:5" ht="11.25">
      <c r="A92" s="4"/>
      <c r="B92" s="5"/>
      <c r="C92" s="4"/>
      <c r="D92" s="4"/>
      <c r="E92" s="4"/>
    </row>
    <row r="93" spans="1:5" ht="11.25">
      <c r="A93" s="4"/>
      <c r="B93" s="5"/>
      <c r="C93" s="4"/>
      <c r="D93" s="5"/>
      <c r="E93" s="5"/>
    </row>
    <row r="94" spans="1:5" ht="11.25">
      <c r="A94" s="4"/>
      <c r="B94" s="5"/>
      <c r="C94" s="4"/>
      <c r="D94" s="5"/>
      <c r="E94" s="5"/>
    </row>
    <row r="95" spans="1:5" ht="11.25">
      <c r="A95" s="4"/>
      <c r="B95" s="5"/>
      <c r="C95" s="4"/>
      <c r="D95" s="5"/>
      <c r="E95" s="5"/>
    </row>
    <row r="96" spans="1:5" ht="11.25">
      <c r="A96" s="4"/>
      <c r="B96" s="5"/>
      <c r="C96" s="4"/>
      <c r="D96" s="5"/>
      <c r="E96" s="5"/>
    </row>
    <row r="97" spans="1:5" ht="11.25">
      <c r="A97" s="4"/>
      <c r="B97" s="5"/>
      <c r="C97" s="4"/>
      <c r="D97" s="5"/>
      <c r="E97" s="5"/>
    </row>
    <row r="98" spans="1:5" ht="11.25">
      <c r="A98" s="4"/>
      <c r="B98" s="5"/>
      <c r="C98" s="4"/>
      <c r="D98" s="5"/>
      <c r="E98" s="5"/>
    </row>
    <row r="99" spans="1:5" ht="11.25">
      <c r="A99" s="4"/>
      <c r="B99" s="5"/>
      <c r="C99" s="4"/>
      <c r="D99" s="5"/>
      <c r="E99" s="5"/>
    </row>
    <row r="100" spans="1:5" ht="11.25">
      <c r="A100" s="4"/>
      <c r="B100" s="5"/>
      <c r="C100" s="4"/>
      <c r="D100" s="5"/>
      <c r="E100" s="5"/>
    </row>
    <row r="101" spans="1:5" ht="11.25">
      <c r="A101" s="4"/>
      <c r="B101" s="5"/>
      <c r="C101" s="4"/>
      <c r="D101" s="4"/>
      <c r="E101" s="4"/>
    </row>
    <row r="102" spans="1:5" ht="11.25">
      <c r="A102" s="4"/>
      <c r="B102" s="5"/>
      <c r="C102" s="4"/>
      <c r="D102" s="4"/>
      <c r="E102" s="4"/>
    </row>
    <row r="103" spans="1:5" ht="11.25">
      <c r="A103" s="4"/>
      <c r="B103" s="5"/>
      <c r="C103" s="4"/>
      <c r="D103" s="4"/>
      <c r="E103" s="4"/>
    </row>
    <row r="104" spans="1:5" ht="11.25">
      <c r="A104" s="4"/>
      <c r="B104" s="5"/>
      <c r="C104" s="4"/>
      <c r="D104" s="4"/>
      <c r="E104" s="4"/>
    </row>
    <row r="105" spans="1:5" ht="11.25">
      <c r="A105" s="4"/>
      <c r="B105" s="5"/>
      <c r="C105" s="4"/>
      <c r="D105" s="4"/>
      <c r="E105" s="4"/>
    </row>
    <row r="106" spans="1:5" ht="11.25">
      <c r="A106" s="4"/>
      <c r="B106" s="5"/>
      <c r="C106" s="4"/>
      <c r="D106" s="4"/>
      <c r="E106" s="4"/>
    </row>
    <row r="107" spans="1:5" ht="11.25">
      <c r="A107" s="4"/>
      <c r="B107" s="5"/>
      <c r="C107" s="4"/>
      <c r="D107" s="4"/>
      <c r="E107" s="4"/>
    </row>
  </sheetData>
  <mergeCells count="476">
    <mergeCell ref="K38:K39"/>
    <mergeCell ref="L36:L37"/>
    <mergeCell ref="K36:K37"/>
    <mergeCell ref="L42:L43"/>
    <mergeCell ref="K42:K43"/>
    <mergeCell ref="A1:O1"/>
    <mergeCell ref="N28:N29"/>
    <mergeCell ref="N30:N31"/>
    <mergeCell ref="L40:L41"/>
    <mergeCell ref="K40:K41"/>
    <mergeCell ref="L32:L33"/>
    <mergeCell ref="K32:K33"/>
    <mergeCell ref="L38:L39"/>
    <mergeCell ref="L34:L35"/>
    <mergeCell ref="K34:K35"/>
    <mergeCell ref="N36:N37"/>
    <mergeCell ref="N34:N35"/>
    <mergeCell ref="N26:N27"/>
    <mergeCell ref="N32:N33"/>
    <mergeCell ref="M32:M33"/>
    <mergeCell ref="M36:M37"/>
    <mergeCell ref="M34:M35"/>
    <mergeCell ref="M42:M43"/>
    <mergeCell ref="M40:M41"/>
    <mergeCell ref="N38:N39"/>
    <mergeCell ref="N40:N41"/>
    <mergeCell ref="N42:N43"/>
    <mergeCell ref="M38:M39"/>
    <mergeCell ref="K28:K29"/>
    <mergeCell ref="K30:K31"/>
    <mergeCell ref="L30:L31"/>
    <mergeCell ref="M30:M31"/>
    <mergeCell ref="L28:L29"/>
    <mergeCell ref="M28:M29"/>
    <mergeCell ref="M14:M15"/>
    <mergeCell ref="M12:M13"/>
    <mergeCell ref="N12:N13"/>
    <mergeCell ref="N14:N15"/>
    <mergeCell ref="K12:K13"/>
    <mergeCell ref="L12:L13"/>
    <mergeCell ref="L14:L15"/>
    <mergeCell ref="K14:K15"/>
    <mergeCell ref="O26:O27"/>
    <mergeCell ref="O20:O21"/>
    <mergeCell ref="O22:O23"/>
    <mergeCell ref="O24:O25"/>
    <mergeCell ref="N70:N71"/>
    <mergeCell ref="N72:N73"/>
    <mergeCell ref="N64:N65"/>
    <mergeCell ref="K46:K47"/>
    <mergeCell ref="M46:M47"/>
    <mergeCell ref="N48:N49"/>
    <mergeCell ref="N46:N47"/>
    <mergeCell ref="M48:M49"/>
    <mergeCell ref="L48:L49"/>
    <mergeCell ref="K48:K49"/>
    <mergeCell ref="N74:N75"/>
    <mergeCell ref="N76:N77"/>
    <mergeCell ref="N50:N51"/>
    <mergeCell ref="N52:N53"/>
    <mergeCell ref="N54:N55"/>
    <mergeCell ref="N68:N69"/>
    <mergeCell ref="N56:N57"/>
    <mergeCell ref="N58:N59"/>
    <mergeCell ref="N60:N61"/>
    <mergeCell ref="N62:N63"/>
    <mergeCell ref="M52:M53"/>
    <mergeCell ref="K52:K53"/>
    <mergeCell ref="M50:M51"/>
    <mergeCell ref="L52:L53"/>
    <mergeCell ref="L50:L51"/>
    <mergeCell ref="K50:K51"/>
    <mergeCell ref="L64:L65"/>
    <mergeCell ref="M64:M65"/>
    <mergeCell ref="L66:L67"/>
    <mergeCell ref="K54:K55"/>
    <mergeCell ref="M66:M67"/>
    <mergeCell ref="K70:K71"/>
    <mergeCell ref="K68:K69"/>
    <mergeCell ref="L68:L69"/>
    <mergeCell ref="L74:L75"/>
    <mergeCell ref="K74:K75"/>
    <mergeCell ref="K72:K73"/>
    <mergeCell ref="L70:L71"/>
    <mergeCell ref="K76:K77"/>
    <mergeCell ref="K78:K79"/>
    <mergeCell ref="M74:M75"/>
    <mergeCell ref="M72:M73"/>
    <mergeCell ref="L72:L73"/>
    <mergeCell ref="L78:L79"/>
    <mergeCell ref="M78:M79"/>
    <mergeCell ref="M10:M11"/>
    <mergeCell ref="N78:N79"/>
    <mergeCell ref="M76:M77"/>
    <mergeCell ref="L76:L77"/>
    <mergeCell ref="M68:M69"/>
    <mergeCell ref="M70:M71"/>
    <mergeCell ref="M54:M55"/>
    <mergeCell ref="L54:L55"/>
    <mergeCell ref="L56:L57"/>
    <mergeCell ref="M56:M57"/>
    <mergeCell ref="K10:K11"/>
    <mergeCell ref="O42:O43"/>
    <mergeCell ref="O40:O41"/>
    <mergeCell ref="O38:O39"/>
    <mergeCell ref="O36:O37"/>
    <mergeCell ref="O34:O35"/>
    <mergeCell ref="O32:O33"/>
    <mergeCell ref="O30:O31"/>
    <mergeCell ref="O28:O29"/>
    <mergeCell ref="L10:L11"/>
    <mergeCell ref="J38:J39"/>
    <mergeCell ref="J32:J33"/>
    <mergeCell ref="J36:J37"/>
    <mergeCell ref="J34:J35"/>
    <mergeCell ref="J42:J43"/>
    <mergeCell ref="J40:J41"/>
    <mergeCell ref="J46:J47"/>
    <mergeCell ref="J44:J45"/>
    <mergeCell ref="I50:I51"/>
    <mergeCell ref="I52:I53"/>
    <mergeCell ref="I54:I55"/>
    <mergeCell ref="I68:I69"/>
    <mergeCell ref="I46:I47"/>
    <mergeCell ref="O48:O49"/>
    <mergeCell ref="O46:O47"/>
    <mergeCell ref="O44:O45"/>
    <mergeCell ref="I48:I49"/>
    <mergeCell ref="N44:N45"/>
    <mergeCell ref="M44:M45"/>
    <mergeCell ref="L44:L45"/>
    <mergeCell ref="K44:K45"/>
    <mergeCell ref="L46:L47"/>
    <mergeCell ref="I38:I39"/>
    <mergeCell ref="I40:I41"/>
    <mergeCell ref="I42:I43"/>
    <mergeCell ref="I44:I45"/>
    <mergeCell ref="I30:I31"/>
    <mergeCell ref="I32:I33"/>
    <mergeCell ref="I34:I35"/>
    <mergeCell ref="I36:I37"/>
    <mergeCell ref="O56:O57"/>
    <mergeCell ref="O54:O55"/>
    <mergeCell ref="O52:O53"/>
    <mergeCell ref="O50:O51"/>
    <mergeCell ref="O64:O65"/>
    <mergeCell ref="O62:O63"/>
    <mergeCell ref="O60:O61"/>
    <mergeCell ref="O58:O59"/>
    <mergeCell ref="G50:G51"/>
    <mergeCell ref="G46:G47"/>
    <mergeCell ref="H54:H55"/>
    <mergeCell ref="J12:J13"/>
    <mergeCell ref="J54:J55"/>
    <mergeCell ref="J52:J53"/>
    <mergeCell ref="J28:J29"/>
    <mergeCell ref="J30:J31"/>
    <mergeCell ref="J50:J51"/>
    <mergeCell ref="J48:J49"/>
    <mergeCell ref="G48:G49"/>
    <mergeCell ref="H36:H37"/>
    <mergeCell ref="H38:H39"/>
    <mergeCell ref="H34:H35"/>
    <mergeCell ref="H40:H41"/>
    <mergeCell ref="H42:H43"/>
    <mergeCell ref="G42:G43"/>
    <mergeCell ref="H44:H45"/>
    <mergeCell ref="G44:G45"/>
    <mergeCell ref="H48:H49"/>
    <mergeCell ref="G40:G41"/>
    <mergeCell ref="G38:G39"/>
    <mergeCell ref="F40:F41"/>
    <mergeCell ref="F42:F43"/>
    <mergeCell ref="F34:F35"/>
    <mergeCell ref="G34:G35"/>
    <mergeCell ref="F36:F37"/>
    <mergeCell ref="F38:F39"/>
    <mergeCell ref="G36:G37"/>
    <mergeCell ref="H78:H79"/>
    <mergeCell ref="J78:J79"/>
    <mergeCell ref="J70:J71"/>
    <mergeCell ref="I76:I77"/>
    <mergeCell ref="I78:I79"/>
    <mergeCell ref="J76:J77"/>
    <mergeCell ref="H76:H77"/>
    <mergeCell ref="I70:I71"/>
    <mergeCell ref="I72:I73"/>
    <mergeCell ref="I74:I75"/>
    <mergeCell ref="H74:H75"/>
    <mergeCell ref="H72:H73"/>
    <mergeCell ref="J68:J69"/>
    <mergeCell ref="J72:J73"/>
    <mergeCell ref="J74:J75"/>
    <mergeCell ref="F78:F79"/>
    <mergeCell ref="G68:G69"/>
    <mergeCell ref="G70:G71"/>
    <mergeCell ref="G72:G73"/>
    <mergeCell ref="G74:G75"/>
    <mergeCell ref="G78:G79"/>
    <mergeCell ref="G76:G77"/>
    <mergeCell ref="F74:F75"/>
    <mergeCell ref="F76:F77"/>
    <mergeCell ref="F32:F33"/>
    <mergeCell ref="F68:F69"/>
    <mergeCell ref="F70:F71"/>
    <mergeCell ref="F72:F73"/>
    <mergeCell ref="F54:F55"/>
    <mergeCell ref="F52:F53"/>
    <mergeCell ref="F50:F51"/>
    <mergeCell ref="F48:F49"/>
    <mergeCell ref="F46:F47"/>
    <mergeCell ref="F44:F45"/>
    <mergeCell ref="G30:G31"/>
    <mergeCell ref="G32:G33"/>
    <mergeCell ref="H28:H29"/>
    <mergeCell ref="H30:H31"/>
    <mergeCell ref="H32:H33"/>
    <mergeCell ref="G14:G15"/>
    <mergeCell ref="H14:H15"/>
    <mergeCell ref="J14:J15"/>
    <mergeCell ref="G28:G29"/>
    <mergeCell ref="I14:I15"/>
    <mergeCell ref="I28:I29"/>
    <mergeCell ref="J18:J19"/>
    <mergeCell ref="G20:G21"/>
    <mergeCell ref="H20:H21"/>
    <mergeCell ref="I20:I21"/>
    <mergeCell ref="O70:O71"/>
    <mergeCell ref="O68:O69"/>
    <mergeCell ref="O66:O67"/>
    <mergeCell ref="H12:H13"/>
    <mergeCell ref="H68:H69"/>
    <mergeCell ref="H70:H71"/>
    <mergeCell ref="H52:H53"/>
    <mergeCell ref="H50:H51"/>
    <mergeCell ref="H46:H47"/>
    <mergeCell ref="I12:I13"/>
    <mergeCell ref="O78:O79"/>
    <mergeCell ref="O76:O77"/>
    <mergeCell ref="O74:O75"/>
    <mergeCell ref="O72:O73"/>
    <mergeCell ref="G8:G9"/>
    <mergeCell ref="N10:N11"/>
    <mergeCell ref="G10:G11"/>
    <mergeCell ref="H8:H9"/>
    <mergeCell ref="H10:H11"/>
    <mergeCell ref="J8:J9"/>
    <mergeCell ref="J10:J11"/>
    <mergeCell ref="I8:I9"/>
    <mergeCell ref="I10:I11"/>
    <mergeCell ref="K8:K9"/>
    <mergeCell ref="G6:G7"/>
    <mergeCell ref="N6:N7"/>
    <mergeCell ref="M6:M7"/>
    <mergeCell ref="L6:L7"/>
    <mergeCell ref="K6:K7"/>
    <mergeCell ref="J6:J7"/>
    <mergeCell ref="H6:H7"/>
    <mergeCell ref="I6:I7"/>
    <mergeCell ref="N8:N9"/>
    <mergeCell ref="J4:J5"/>
    <mergeCell ref="K4:K5"/>
    <mergeCell ref="L4:L5"/>
    <mergeCell ref="L8:L9"/>
    <mergeCell ref="M8:M9"/>
    <mergeCell ref="O16:O17"/>
    <mergeCell ref="O18:O19"/>
    <mergeCell ref="F4:F5"/>
    <mergeCell ref="G4:G5"/>
    <mergeCell ref="H4:H5"/>
    <mergeCell ref="F10:F11"/>
    <mergeCell ref="M4:M5"/>
    <mergeCell ref="N4:N5"/>
    <mergeCell ref="F6:F7"/>
    <mergeCell ref="F8:F9"/>
    <mergeCell ref="E72:E73"/>
    <mergeCell ref="E74:E75"/>
    <mergeCell ref="E50:E51"/>
    <mergeCell ref="E68:E69"/>
    <mergeCell ref="E70:E71"/>
    <mergeCell ref="E44:E45"/>
    <mergeCell ref="E46:E47"/>
    <mergeCell ref="E48:E49"/>
    <mergeCell ref="E36:E37"/>
    <mergeCell ref="E38:E39"/>
    <mergeCell ref="E6:E7"/>
    <mergeCell ref="B32:C39"/>
    <mergeCell ref="G12:G13"/>
    <mergeCell ref="B28:C31"/>
    <mergeCell ref="E28:E29"/>
    <mergeCell ref="E30:E31"/>
    <mergeCell ref="F28:F29"/>
    <mergeCell ref="F12:F13"/>
    <mergeCell ref="F14:F15"/>
    <mergeCell ref="F30:F31"/>
    <mergeCell ref="N2:N3"/>
    <mergeCell ref="B2:C3"/>
    <mergeCell ref="E2:E3"/>
    <mergeCell ref="E4:E5"/>
    <mergeCell ref="I4:I5"/>
    <mergeCell ref="B52:C55"/>
    <mergeCell ref="D52:D55"/>
    <mergeCell ref="A68:A79"/>
    <mergeCell ref="A44:A55"/>
    <mergeCell ref="B68:C71"/>
    <mergeCell ref="D68:D71"/>
    <mergeCell ref="D44:D47"/>
    <mergeCell ref="B72:C75"/>
    <mergeCell ref="B44:C47"/>
    <mergeCell ref="B48:C51"/>
    <mergeCell ref="D48:D51"/>
    <mergeCell ref="D36:D39"/>
    <mergeCell ref="L2:L3"/>
    <mergeCell ref="M2:M3"/>
    <mergeCell ref="F2:F3"/>
    <mergeCell ref="G2:G3"/>
    <mergeCell ref="H2:H3"/>
    <mergeCell ref="J2:J3"/>
    <mergeCell ref="K2:K3"/>
    <mergeCell ref="I2:I3"/>
    <mergeCell ref="E8:E9"/>
    <mergeCell ref="E10:E11"/>
    <mergeCell ref="E34:E35"/>
    <mergeCell ref="E32:E33"/>
    <mergeCell ref="E18:E19"/>
    <mergeCell ref="A4:A15"/>
    <mergeCell ref="B12:C15"/>
    <mergeCell ref="D12:D15"/>
    <mergeCell ref="A2:A3"/>
    <mergeCell ref="D2:D3"/>
    <mergeCell ref="B8:C11"/>
    <mergeCell ref="D4:D7"/>
    <mergeCell ref="D8:D11"/>
    <mergeCell ref="B4:C7"/>
    <mergeCell ref="A28:A43"/>
    <mergeCell ref="B40:C43"/>
    <mergeCell ref="D40:D43"/>
    <mergeCell ref="E40:E41"/>
    <mergeCell ref="E42:E43"/>
    <mergeCell ref="D32:D35"/>
    <mergeCell ref="D28:D31"/>
    <mergeCell ref="O10:O11"/>
    <mergeCell ref="O12:O13"/>
    <mergeCell ref="O14:O15"/>
    <mergeCell ref="B76:C79"/>
    <mergeCell ref="D76:D79"/>
    <mergeCell ref="E76:E77"/>
    <mergeCell ref="E78:E79"/>
    <mergeCell ref="E12:E13"/>
    <mergeCell ref="E14:E15"/>
    <mergeCell ref="D72:D75"/>
    <mergeCell ref="O2:O3"/>
    <mergeCell ref="O4:O5"/>
    <mergeCell ref="O6:O7"/>
    <mergeCell ref="O8:O9"/>
    <mergeCell ref="J56:J57"/>
    <mergeCell ref="K56:K57"/>
    <mergeCell ref="E52:E53"/>
    <mergeCell ref="E54:E55"/>
    <mergeCell ref="G54:G55"/>
    <mergeCell ref="G52:G53"/>
    <mergeCell ref="F56:F57"/>
    <mergeCell ref="G56:G57"/>
    <mergeCell ref="H56:H57"/>
    <mergeCell ref="I56:I57"/>
    <mergeCell ref="A56:A67"/>
    <mergeCell ref="B56:C59"/>
    <mergeCell ref="D56:D59"/>
    <mergeCell ref="E56:E57"/>
    <mergeCell ref="E58:E59"/>
    <mergeCell ref="B60:C63"/>
    <mergeCell ref="D60:D63"/>
    <mergeCell ref="E60:E61"/>
    <mergeCell ref="E62:E63"/>
    <mergeCell ref="B64:C67"/>
    <mergeCell ref="F58:F59"/>
    <mergeCell ref="G58:G59"/>
    <mergeCell ref="H58:H59"/>
    <mergeCell ref="I58:I59"/>
    <mergeCell ref="J58:J59"/>
    <mergeCell ref="K58:K59"/>
    <mergeCell ref="L58:L59"/>
    <mergeCell ref="M58:M59"/>
    <mergeCell ref="F60:F61"/>
    <mergeCell ref="G60:G61"/>
    <mergeCell ref="H60:H61"/>
    <mergeCell ref="I60:I61"/>
    <mergeCell ref="J60:J61"/>
    <mergeCell ref="K60:K61"/>
    <mergeCell ref="L60:L61"/>
    <mergeCell ref="M60:M61"/>
    <mergeCell ref="F62:F63"/>
    <mergeCell ref="G62:G63"/>
    <mergeCell ref="H62:H63"/>
    <mergeCell ref="I62:I63"/>
    <mergeCell ref="J62:J63"/>
    <mergeCell ref="K62:K63"/>
    <mergeCell ref="L62:L63"/>
    <mergeCell ref="M62:M63"/>
    <mergeCell ref="D64:D67"/>
    <mergeCell ref="E64:E65"/>
    <mergeCell ref="F64:F65"/>
    <mergeCell ref="G64:G65"/>
    <mergeCell ref="E66:E67"/>
    <mergeCell ref="F66:F67"/>
    <mergeCell ref="G66:G67"/>
    <mergeCell ref="H64:H65"/>
    <mergeCell ref="I64:I65"/>
    <mergeCell ref="J64:J65"/>
    <mergeCell ref="K64:K65"/>
    <mergeCell ref="H66:H67"/>
    <mergeCell ref="I66:I67"/>
    <mergeCell ref="J66:J67"/>
    <mergeCell ref="K66:K67"/>
    <mergeCell ref="N66:N67"/>
    <mergeCell ref="A16:A27"/>
    <mergeCell ref="B16:C19"/>
    <mergeCell ref="D16:D19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F18:F19"/>
    <mergeCell ref="G18:G19"/>
    <mergeCell ref="H18:H19"/>
    <mergeCell ref="I18:I19"/>
    <mergeCell ref="K18:K19"/>
    <mergeCell ref="L18:L19"/>
    <mergeCell ref="M18:M19"/>
    <mergeCell ref="N18:N19"/>
    <mergeCell ref="B20:C23"/>
    <mergeCell ref="D20:D23"/>
    <mergeCell ref="E20:E21"/>
    <mergeCell ref="F20:F21"/>
    <mergeCell ref="J20:J21"/>
    <mergeCell ref="K20:K21"/>
    <mergeCell ref="L20:L21"/>
    <mergeCell ref="M20:M21"/>
    <mergeCell ref="N20:N21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B24:C27"/>
    <mergeCell ref="D24:D27"/>
    <mergeCell ref="E24:E25"/>
    <mergeCell ref="F24:F25"/>
    <mergeCell ref="G24:G25"/>
    <mergeCell ref="H24:H25"/>
    <mergeCell ref="I24:I25"/>
    <mergeCell ref="J24:J25"/>
    <mergeCell ref="K24:K25"/>
    <mergeCell ref="N24:N25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L24:L25"/>
    <mergeCell ref="M24:M25"/>
  </mergeCells>
  <printOptions/>
  <pageMargins left="0.44" right="0.45" top="0.88" bottom="1.09" header="0.5" footer="0.8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Playboy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Kolmyk</dc:creator>
  <cp:keywords/>
  <dc:description/>
  <cp:lastModifiedBy>Kolmyk</cp:lastModifiedBy>
  <cp:lastPrinted>2004-10-22T04:54:02Z</cp:lastPrinted>
  <dcterms:created xsi:type="dcterms:W3CDTF">2004-10-13T19:45:40Z</dcterms:created>
  <dcterms:modified xsi:type="dcterms:W3CDTF">2004-11-04T16:18:52Z</dcterms:modified>
  <cp:category/>
  <cp:version/>
  <cp:contentType/>
  <cp:contentStatus/>
</cp:coreProperties>
</file>